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/>
  <bookViews>
    <workbookView xWindow="-120" yWindow="-120" windowWidth="20730" windowHeight="11160"/>
  </bookViews>
  <sheets>
    <sheet name="RELAÇÃO COMPLETA 2019" sheetId="1" r:id="rId1"/>
  </sheets>
  <definedNames>
    <definedName name="_xlnm._FilterDatabase" localSheetId="0" hidden="1">'RELAÇÃO COMPLETA 2019'!$A$3:$AF$40</definedName>
  </definedName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6" i="1"/>
  <c r="B1" l="1"/>
  <c r="I4"/>
  <c r="M4" s="1"/>
  <c r="L4"/>
  <c r="I5"/>
  <c r="M5" s="1"/>
  <c r="L5"/>
  <c r="I6"/>
  <c r="L6"/>
  <c r="M6"/>
  <c r="I7"/>
  <c r="M7" s="1"/>
  <c r="L7"/>
  <c r="I8"/>
  <c r="M8" s="1"/>
  <c r="L8"/>
  <c r="I9"/>
  <c r="L9"/>
  <c r="M9"/>
  <c r="I10"/>
  <c r="M10" s="1"/>
  <c r="L10"/>
  <c r="I11"/>
  <c r="M11" s="1"/>
  <c r="L11"/>
  <c r="I12"/>
  <c r="M12" s="1"/>
  <c r="L12"/>
  <c r="I13"/>
  <c r="M13" s="1"/>
  <c r="L13"/>
  <c r="I14"/>
  <c r="M14" s="1"/>
  <c r="L14"/>
  <c r="I15"/>
  <c r="M15" s="1"/>
  <c r="L15"/>
  <c r="I16"/>
  <c r="M16" s="1"/>
  <c r="L16"/>
  <c r="I17"/>
  <c r="M17" s="1"/>
  <c r="L17"/>
  <c r="I18"/>
  <c r="M18" s="1"/>
  <c r="L18"/>
  <c r="I19"/>
  <c r="M19" s="1"/>
  <c r="L19"/>
  <c r="I20"/>
  <c r="M20" s="1"/>
  <c r="L20"/>
  <c r="I21"/>
  <c r="M21" s="1"/>
  <c r="L21"/>
  <c r="I22"/>
  <c r="M22" s="1"/>
  <c r="L22"/>
  <c r="I23"/>
  <c r="M23" s="1"/>
  <c r="L23"/>
  <c r="I24"/>
  <c r="M24" s="1"/>
  <c r="L24"/>
  <c r="I25"/>
  <c r="M25" s="1"/>
  <c r="L25"/>
  <c r="I26"/>
  <c r="M26" s="1"/>
  <c r="L26"/>
  <c r="I27"/>
  <c r="M27" s="1"/>
  <c r="L27"/>
  <c r="I28"/>
  <c r="M28" s="1"/>
  <c r="L28"/>
  <c r="I29"/>
  <c r="M29" s="1"/>
  <c r="L29"/>
  <c r="I30"/>
  <c r="M30" s="1"/>
  <c r="L30"/>
  <c r="I31"/>
  <c r="M31" s="1"/>
  <c r="L31"/>
  <c r="I32"/>
  <c r="M32" s="1"/>
  <c r="L32"/>
  <c r="I33"/>
  <c r="M33" s="1"/>
  <c r="L33"/>
  <c r="I34"/>
  <c r="M34" s="1"/>
  <c r="L34"/>
  <c r="I35"/>
  <c r="M35" s="1"/>
  <c r="L35"/>
  <c r="I36"/>
  <c r="M36" s="1"/>
  <c r="L36"/>
  <c r="I37"/>
  <c r="M37" s="1"/>
  <c r="L37"/>
  <c r="I38"/>
  <c r="L38"/>
  <c r="M38"/>
  <c r="I39"/>
  <c r="M39" s="1"/>
  <c r="L39"/>
  <c r="E167"/>
  <c r="C41"/>
  <c r="A2" s="1"/>
  <c r="N41"/>
  <c r="O41"/>
  <c r="P41"/>
  <c r="Y41"/>
  <c r="D74"/>
  <c r="D50" s="1"/>
  <c r="D75"/>
  <c r="D51" s="1"/>
  <c r="D76"/>
  <c r="D77"/>
  <c r="D53" s="1"/>
  <c r="D78"/>
  <c r="D54" s="1"/>
  <c r="D79"/>
  <c r="D55" s="1"/>
  <c r="D80"/>
  <c r="D81"/>
  <c r="D57" s="1"/>
  <c r="D82"/>
  <c r="D58" s="1"/>
  <c r="D83"/>
  <c r="D59" s="1"/>
  <c r="D84"/>
  <c r="D85"/>
  <c r="D61" s="1"/>
  <c r="D86"/>
  <c r="D62" s="1"/>
  <c r="D87"/>
  <c r="D63" s="1"/>
  <c r="D88"/>
  <c r="D89"/>
  <c r="D65" s="1"/>
  <c r="D90"/>
  <c r="D66" s="1"/>
  <c r="D91"/>
  <c r="D67" s="1"/>
  <c r="D92"/>
  <c r="D93"/>
  <c r="D69" s="1"/>
  <c r="D97"/>
  <c r="E50" s="1"/>
  <c r="D98"/>
  <c r="E51" s="1"/>
  <c r="D99"/>
  <c r="E52" s="1"/>
  <c r="D100"/>
  <c r="E53" s="1"/>
  <c r="D101"/>
  <c r="E54" s="1"/>
  <c r="D102"/>
  <c r="E55" s="1"/>
  <c r="D103"/>
  <c r="D104"/>
  <c r="E57" s="1"/>
  <c r="D105"/>
  <c r="E58" s="1"/>
  <c r="D106"/>
  <c r="E59" s="1"/>
  <c r="D107"/>
  <c r="E60" s="1"/>
  <c r="D108"/>
  <c r="E61" s="1"/>
  <c r="D109"/>
  <c r="E62" s="1"/>
  <c r="F62" s="1"/>
  <c r="D110"/>
  <c r="E63" s="1"/>
  <c r="D111"/>
  <c r="E64" s="1"/>
  <c r="D112"/>
  <c r="E65" s="1"/>
  <c r="D113"/>
  <c r="E66" s="1"/>
  <c r="D114"/>
  <c r="E67" s="1"/>
  <c r="D115"/>
  <c r="E68" s="1"/>
  <c r="D116"/>
  <c r="E69" s="1"/>
  <c r="D128"/>
  <c r="E128"/>
  <c r="D129"/>
  <c r="F129"/>
  <c r="D130"/>
  <c r="D131"/>
  <c r="D132"/>
  <c r="D133"/>
  <c r="D134"/>
  <c r="D137"/>
  <c r="D138"/>
  <c r="D142"/>
  <c r="D143"/>
  <c r="D144"/>
  <c r="D145"/>
  <c r="D146"/>
  <c r="D147"/>
  <c r="D148"/>
  <c r="D152"/>
  <c r="D153"/>
  <c r="D154"/>
  <c r="D155"/>
  <c r="D156"/>
  <c r="D157"/>
  <c r="D158"/>
  <c r="D159"/>
  <c r="D160"/>
  <c r="D161"/>
  <c r="D162"/>
  <c r="D163"/>
  <c r="F66" l="1"/>
  <c r="F58"/>
  <c r="D164"/>
  <c r="E154" s="1"/>
  <c r="F69"/>
  <c r="F53"/>
  <c r="F61"/>
  <c r="D64"/>
  <c r="F64" s="1"/>
  <c r="D56"/>
  <c r="F56" s="1"/>
  <c r="D168"/>
  <c r="E168" s="1"/>
  <c r="D94"/>
  <c r="E88" s="1"/>
  <c r="F65"/>
  <c r="F54"/>
  <c r="D68"/>
  <c r="F68" s="1"/>
  <c r="D60"/>
  <c r="D52"/>
  <c r="F52" s="1"/>
  <c r="F59"/>
  <c r="F51"/>
  <c r="E130"/>
  <c r="F50"/>
  <c r="D121"/>
  <c r="D123"/>
  <c r="D122"/>
  <c r="D124"/>
  <c r="E131"/>
  <c r="E133"/>
  <c r="D149"/>
  <c r="E142" s="1"/>
  <c r="E70"/>
  <c r="F63"/>
  <c r="F55"/>
  <c r="F60"/>
  <c r="L41"/>
  <c r="D175" s="1"/>
  <c r="D176"/>
  <c r="D172"/>
  <c r="O1"/>
  <c r="E134"/>
  <c r="F67"/>
  <c r="E159"/>
  <c r="D139"/>
  <c r="E137" s="1"/>
  <c r="E132"/>
  <c r="E129"/>
  <c r="F57"/>
  <c r="E169"/>
  <c r="D117"/>
  <c r="E110" s="1"/>
  <c r="C1"/>
  <c r="E82"/>
  <c r="E78"/>
  <c r="E152" l="1"/>
  <c r="E155"/>
  <c r="E162"/>
  <c r="E156"/>
  <c r="E160"/>
  <c r="E153"/>
  <c r="E164" s="1"/>
  <c r="D178"/>
  <c r="D173"/>
  <c r="E161"/>
  <c r="E163"/>
  <c r="E157"/>
  <c r="E158"/>
  <c r="E92"/>
  <c r="E86"/>
  <c r="D177"/>
  <c r="E83"/>
  <c r="E79"/>
  <c r="E87"/>
  <c r="E85"/>
  <c r="E93"/>
  <c r="E81"/>
  <c r="E89"/>
  <c r="E77"/>
  <c r="E74"/>
  <c r="E90"/>
  <c r="D174"/>
  <c r="E76"/>
  <c r="D70"/>
  <c r="F70" s="1"/>
  <c r="E75"/>
  <c r="E91"/>
  <c r="E84"/>
  <c r="E80"/>
  <c r="E101"/>
  <c r="E109"/>
  <c r="E111"/>
  <c r="E99"/>
  <c r="E107"/>
  <c r="E115"/>
  <c r="E103"/>
  <c r="E97"/>
  <c r="E117" s="1"/>
  <c r="E105"/>
  <c r="E113"/>
  <c r="E116"/>
  <c r="E98"/>
  <c r="E114"/>
  <c r="E112"/>
  <c r="E138"/>
  <c r="E139" s="1"/>
  <c r="D125"/>
  <c r="E122" s="1"/>
  <c r="E143"/>
  <c r="E147"/>
  <c r="E145"/>
  <c r="E102"/>
  <c r="E146"/>
  <c r="E148"/>
  <c r="E100"/>
  <c r="E104"/>
  <c r="E106"/>
  <c r="E108"/>
  <c r="E144"/>
  <c r="D179" l="1"/>
  <c r="E177"/>
  <c r="E124"/>
  <c r="E121"/>
  <c r="E175"/>
  <c r="E172"/>
  <c r="E173"/>
  <c r="E94"/>
  <c r="E149"/>
  <c r="E176"/>
  <c r="E174"/>
  <c r="E123"/>
  <c r="E178"/>
  <c r="E125" l="1"/>
  <c r="E179"/>
</calcChain>
</file>

<file path=xl/sharedStrings.xml><?xml version="1.0" encoding="utf-8"?>
<sst xmlns="http://schemas.openxmlformats.org/spreadsheetml/2006/main" count="554" uniqueCount="201">
  <si>
    <t>TOTAL</t>
  </si>
  <si>
    <t>7 - Sábado</t>
  </si>
  <si>
    <t>6 - Sexta-feira</t>
  </si>
  <si>
    <t>5 - Quinta-feira</t>
  </si>
  <si>
    <t>4 - Quarta-feira</t>
  </si>
  <si>
    <t>3 - Terça-feira</t>
  </si>
  <si>
    <t>2 - Segunda-feira</t>
  </si>
  <si>
    <t>1 - Domingo</t>
  </si>
  <si>
    <t>DIAS DA SEMANA DO DESASTRE</t>
  </si>
  <si>
    <t>Total</t>
  </si>
  <si>
    <t>Sem Decretos</t>
  </si>
  <si>
    <t>Com Decretos</t>
  </si>
  <si>
    <t>%</t>
  </si>
  <si>
    <t>Municípios em 2018</t>
  </si>
  <si>
    <t>Total de Eventos</t>
  </si>
  <si>
    <t>Dezembro</t>
  </si>
  <si>
    <t>Novembro</t>
  </si>
  <si>
    <t>Outubro</t>
  </si>
  <si>
    <t>Setembro</t>
  </si>
  <si>
    <t>Agosto</t>
  </si>
  <si>
    <t>Julho</t>
  </si>
  <si>
    <t>Junho</t>
  </si>
  <si>
    <t>Maio</t>
  </si>
  <si>
    <t>Abril</t>
  </si>
  <si>
    <t>Março</t>
  </si>
  <si>
    <t>Fevereiro</t>
  </si>
  <si>
    <t>Janeiro</t>
  </si>
  <si>
    <t>Evento/Mês</t>
  </si>
  <si>
    <t xml:space="preserve">Total de processos </t>
  </si>
  <si>
    <t>Homologação em tramitação</t>
  </si>
  <si>
    <t>Homologado e Reconhecido</t>
  </si>
  <si>
    <t>Reconhecido</t>
  </si>
  <si>
    <t>Homologado</t>
  </si>
  <si>
    <t>Documentos em análise</t>
  </si>
  <si>
    <t>Arquivado</t>
  </si>
  <si>
    <t>Aguardando ajustes</t>
  </si>
  <si>
    <t>Situação Dec/Port</t>
  </si>
  <si>
    <t>Documentação OK</t>
  </si>
  <si>
    <t>Documentos que faltam</t>
  </si>
  <si>
    <t>Verificação documental</t>
  </si>
  <si>
    <t>Total de processos</t>
  </si>
  <si>
    <t>Vale do Itajaí</t>
  </si>
  <si>
    <t>Sul Catarinense</t>
  </si>
  <si>
    <t>Serrana</t>
  </si>
  <si>
    <t>Oeste Catarinense</t>
  </si>
  <si>
    <t>Norte Catarinense</t>
  </si>
  <si>
    <t>Grande Florianópolis</t>
  </si>
  <si>
    <t>Mesorregião</t>
  </si>
  <si>
    <t>Estado de Calamidade Pública - Nível III</t>
  </si>
  <si>
    <t>Situação de Emergência - Nível II</t>
  </si>
  <si>
    <t>Situação de Emergência - Nível I</t>
  </si>
  <si>
    <t>Situação de Emergência - Nível (?)</t>
  </si>
  <si>
    <t>Situação Decretada</t>
  </si>
  <si>
    <t>Total de Decr por evento por município</t>
  </si>
  <si>
    <t>Vendaval</t>
  </si>
  <si>
    <t>Tornado</t>
  </si>
  <si>
    <t>Ressacas</t>
  </si>
  <si>
    <t>Onda de Calor</t>
  </si>
  <si>
    <t>Mov. Massa</t>
  </si>
  <si>
    <t>Liberação Química</t>
  </si>
  <si>
    <t>Inundação</t>
  </si>
  <si>
    <t>Incêndios Aglom Resid</t>
  </si>
  <si>
    <t>Granizo</t>
  </si>
  <si>
    <t>Geadas</t>
  </si>
  <si>
    <t>Friagem</t>
  </si>
  <si>
    <t>Estiagem</t>
  </si>
  <si>
    <t>Enxurradas</t>
  </si>
  <si>
    <t xml:space="preserve">Enchentes </t>
  </si>
  <si>
    <t>Erosão M Fluv</t>
  </si>
  <si>
    <t>Erosão costeira</t>
  </si>
  <si>
    <t>Deslizamentos</t>
  </si>
  <si>
    <t>Colapso de Edificações</t>
  </si>
  <si>
    <t>Chuvas intensas</t>
  </si>
  <si>
    <t>Alagamentos</t>
  </si>
  <si>
    <t>Qtde</t>
  </si>
  <si>
    <t>Evento -  ECP</t>
  </si>
  <si>
    <t>Evento - SE</t>
  </si>
  <si>
    <t>Vendavais</t>
  </si>
  <si>
    <t>Tornados</t>
  </si>
  <si>
    <t>Onda de calor</t>
  </si>
  <si>
    <t>Mov. de massa</t>
  </si>
  <si>
    <t>Liberação Quimíca</t>
  </si>
  <si>
    <t>Inundações</t>
  </si>
  <si>
    <t>Enchentes</t>
  </si>
  <si>
    <t xml:space="preserve"> </t>
  </si>
  <si>
    <t>Erosão M Fluvial</t>
  </si>
  <si>
    <t>Erosão Costeira</t>
  </si>
  <si>
    <t>ECP</t>
  </si>
  <si>
    <t>SE</t>
  </si>
  <si>
    <t>FENÔMENO</t>
  </si>
  <si>
    <t>Estado de Calamidade Pública</t>
  </si>
  <si>
    <t>Situação de Emergência</t>
  </si>
  <si>
    <t>LEGENDA:</t>
  </si>
  <si>
    <t xml:space="preserve">                        </t>
  </si>
  <si>
    <t>Atualizada em 25.04.2019, às 18h10min</t>
  </si>
  <si>
    <t xml:space="preserve">  </t>
  </si>
  <si>
    <t>Ordinário</t>
  </si>
  <si>
    <t>x</t>
  </si>
  <si>
    <t>SE-II</t>
  </si>
  <si>
    <t>Chuvas Intensas</t>
  </si>
  <si>
    <t>VIIIª ADR - Campos Novos</t>
  </si>
  <si>
    <t>Curitibanos</t>
  </si>
  <si>
    <t>Zortéa</t>
  </si>
  <si>
    <t>1 e 2</t>
  </si>
  <si>
    <t>Vª ADR - Xanxerê</t>
  </si>
  <si>
    <t>Xanxerê</t>
  </si>
  <si>
    <t>Xaxim</t>
  </si>
  <si>
    <t>XXª ADR - Criciúma</t>
  </si>
  <si>
    <t>Criciúma</t>
  </si>
  <si>
    <t>Urussanga</t>
  </si>
  <si>
    <t>Não atende os critérios da IN 02-MI-2016 e IN 01-SDC-2017</t>
  </si>
  <si>
    <t>SE-</t>
  </si>
  <si>
    <t>XXIVª ADR - Mafra</t>
  </si>
  <si>
    <t>Canoinhas</t>
  </si>
  <si>
    <t>Três Barras</t>
  </si>
  <si>
    <t>IXª ADR - Videira</t>
  </si>
  <si>
    <t>Joaçaba</t>
  </si>
  <si>
    <t>Tangará</t>
  </si>
  <si>
    <t>IIIª ADR - São Lourenço d´ Oeste</t>
  </si>
  <si>
    <t>São Lourenço do Oeste</t>
  </si>
  <si>
    <t>GRANFPOLIS</t>
  </si>
  <si>
    <t>SE-I</t>
  </si>
  <si>
    <t>SEM ADR</t>
  </si>
  <si>
    <t>São José</t>
  </si>
  <si>
    <t>XIXª ADR - Tubarão</t>
  </si>
  <si>
    <t>Tubarão</t>
  </si>
  <si>
    <t>Rio Fortuna</t>
  </si>
  <si>
    <t>Aguardando ajustes do município (e)</t>
  </si>
  <si>
    <t>Ponte Serrada</t>
  </si>
  <si>
    <t>Pescaria Brava</t>
  </si>
  <si>
    <t>XVIIª ADR - Itajaí</t>
  </si>
  <si>
    <t>Itajaí</t>
  </si>
  <si>
    <t>Penha</t>
  </si>
  <si>
    <t>Passos Maia</t>
  </si>
  <si>
    <t>Papanduva</t>
  </si>
  <si>
    <t>X</t>
  </si>
  <si>
    <t>Nova Veneza</t>
  </si>
  <si>
    <t>Navegantes</t>
  </si>
  <si>
    <t>Marema</t>
  </si>
  <si>
    <t>XVª ADR - Blumenau</t>
  </si>
  <si>
    <t>Luiz Alves</t>
  </si>
  <si>
    <t>VIª ADR - Concórdia</t>
  </si>
  <si>
    <t>Concórdia</t>
  </si>
  <si>
    <t>Lindóia do Sul</t>
  </si>
  <si>
    <t>VIIª ADR - Joaçaba</t>
  </si>
  <si>
    <t>Lacerdópolis</t>
  </si>
  <si>
    <t>XXIIª ADR - Joinville</t>
  </si>
  <si>
    <t>Joinville</t>
  </si>
  <si>
    <t>Erosão Cost</t>
  </si>
  <si>
    <t>Itapoá</t>
  </si>
  <si>
    <t>1035 e 1046</t>
  </si>
  <si>
    <t>XXIIIª ADR - Jaraguá do Sul</t>
  </si>
  <si>
    <t>Jaraguá do Sul</t>
  </si>
  <si>
    <t>Guaramirim</t>
  </si>
  <si>
    <t>Grão Pará</t>
  </si>
  <si>
    <t>Cocal do Sul</t>
  </si>
  <si>
    <t>Capinzal</t>
  </si>
  <si>
    <t>Bom Jesus</t>
  </si>
  <si>
    <t>Blumenau</t>
  </si>
  <si>
    <t>Biguaçu</t>
  </si>
  <si>
    <t>Barra Velha</t>
  </si>
  <si>
    <t>Balneário Piçarras</t>
  </si>
  <si>
    <t>Balneário Barra do Sul</t>
  </si>
  <si>
    <t>XIIª ADR - Rio do Sul</t>
  </si>
  <si>
    <t>Rio do Sul</t>
  </si>
  <si>
    <t>Atalanta</t>
  </si>
  <si>
    <t>Araquari</t>
  </si>
  <si>
    <t>Agrolândia</t>
  </si>
  <si>
    <t>Procedimento</t>
  </si>
  <si>
    <t>Pág Nº</t>
  </si>
  <si>
    <t>Data do D.O.U.</t>
  </si>
  <si>
    <t>Diário Oficial da União Nº</t>
  </si>
  <si>
    <t>Data da Portaria</t>
  </si>
  <si>
    <t>Nº Portaria de Reconhecimento</t>
  </si>
  <si>
    <t>Ato Comp</t>
  </si>
  <si>
    <t>Decreto</t>
  </si>
  <si>
    <t>Ofício</t>
  </si>
  <si>
    <t>Pág.</t>
  </si>
  <si>
    <t>Data do DOE</t>
  </si>
  <si>
    <t>D.O Nº</t>
  </si>
  <si>
    <t>Data do Decreto Estadual</t>
  </si>
  <si>
    <t>Decreto Estadual</t>
  </si>
  <si>
    <t>Obs 1</t>
  </si>
  <si>
    <t>UNIÃO</t>
  </si>
  <si>
    <t>Doc para SDC</t>
  </si>
  <si>
    <t>Verificação Documental</t>
  </si>
  <si>
    <t>ESTADO</t>
  </si>
  <si>
    <t>Decretação (I, II OU III)</t>
  </si>
  <si>
    <t xml:space="preserve">Evento </t>
  </si>
  <si>
    <t>Prazo Final</t>
  </si>
  <si>
    <t>DIA.SEM</t>
  </si>
  <si>
    <t>Vigencia SE</t>
  </si>
  <si>
    <t>Mês</t>
  </si>
  <si>
    <t>Início da vigência (Art 1º, § 2º, da IN 02/2016/MI)</t>
  </si>
  <si>
    <t>Data do desatre</t>
  </si>
  <si>
    <t>Data do Decreto</t>
  </si>
  <si>
    <t>Dec Munic  nº</t>
  </si>
  <si>
    <t>ADR</t>
  </si>
  <si>
    <t>COREDEC</t>
  </si>
  <si>
    <t>Nome do Município</t>
  </si>
  <si>
    <t>Ano</t>
  </si>
</sst>
</file>

<file path=xl/styles.xml><?xml version="1.0" encoding="utf-8"?>
<styleSheet xmlns="http://schemas.openxmlformats.org/spreadsheetml/2006/main">
  <numFmts count="2">
    <numFmt numFmtId="164" formatCode="0;[Red]0"/>
    <numFmt numFmtId="165" formatCode="dd\/mm\/yyyy"/>
  </numFmts>
  <fonts count="2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theme="0"/>
      <name val="Arial"/>
      <family val="2"/>
    </font>
    <font>
      <sz val="12"/>
      <name val="Times New Roman"/>
      <family val="1"/>
    </font>
    <font>
      <sz val="7.5"/>
      <color indexed="8"/>
      <name val="Verdana"/>
      <family val="2"/>
    </font>
    <font>
      <b/>
      <sz val="12"/>
      <color indexed="8"/>
      <name val="Verdana"/>
      <family val="2"/>
    </font>
    <font>
      <b/>
      <sz val="11"/>
      <name val="Arial"/>
      <family val="2"/>
    </font>
    <font>
      <b/>
      <sz val="12"/>
      <name val="Times New Roman"/>
      <family val="1"/>
    </font>
    <font>
      <b/>
      <sz val="11"/>
      <color indexed="8"/>
      <name val="Verdana"/>
      <family val="2"/>
    </font>
    <font>
      <b/>
      <sz val="11"/>
      <name val="Times New Roman"/>
      <family val="1"/>
    </font>
    <font>
      <b/>
      <sz val="11"/>
      <name val="Verdana"/>
      <family val="2"/>
    </font>
    <font>
      <b/>
      <sz val="7.5"/>
      <color indexed="10"/>
      <name val="Verdana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11"/>
      <color indexed="8"/>
      <name val="Verdana"/>
      <family val="2"/>
    </font>
    <font>
      <sz val="9"/>
      <name val="Arial"/>
      <family val="2"/>
    </font>
    <font>
      <b/>
      <sz val="10"/>
      <color rgb="FFFF0000"/>
      <name val="Verdana"/>
      <family val="2"/>
    </font>
    <font>
      <b/>
      <sz val="10"/>
      <color rgb="FF7030A0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</font>
    <font>
      <b/>
      <sz val="12"/>
      <color rgb="FFFF0000"/>
      <name val="Arial"/>
      <family val="2"/>
    </font>
    <font>
      <b/>
      <sz val="12"/>
      <color theme="0"/>
      <name val="Arial"/>
      <family val="2"/>
    </font>
    <font>
      <b/>
      <sz val="12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31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31"/>
      </patternFill>
    </fill>
    <fill>
      <patternFill patternType="solid">
        <fgColor indexed="22"/>
        <bgColor indexed="31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0" fontId="5" fillId="0" borderId="0"/>
    <xf numFmtId="0" fontId="5" fillId="0" borderId="0"/>
    <xf numFmtId="0" fontId="2" fillId="0" borderId="0"/>
    <xf numFmtId="0" fontId="2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23">
    <xf numFmtId="0" fontId="0" fillId="0" borderId="0" xfId="0"/>
    <xf numFmtId="0" fontId="2" fillId="0" borderId="0" xfId="0" applyFont="1"/>
    <xf numFmtId="1" fontId="2" fillId="0" borderId="0" xfId="0" applyNumberFormat="1" applyFont="1"/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locked="0" hidden="1"/>
    </xf>
    <xf numFmtId="0" fontId="3" fillId="0" borderId="1" xfId="0" applyFont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3" fontId="3" fillId="0" borderId="0" xfId="0" applyNumberFormat="1" applyFont="1" applyAlignment="1">
      <alignment horizontal="center" vertical="center"/>
    </xf>
    <xf numFmtId="3" fontId="3" fillId="2" borderId="1" xfId="0" applyNumberFormat="1" applyFont="1" applyFill="1" applyBorder="1" applyAlignment="1">
      <alignment horizontal="left" vertical="center"/>
    </xf>
    <xf numFmtId="3" fontId="2" fillId="0" borderId="1" xfId="0" applyNumberFormat="1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shrinkToFit="1"/>
    </xf>
    <xf numFmtId="0" fontId="2" fillId="0" borderId="1" xfId="0" applyFont="1" applyBorder="1"/>
    <xf numFmtId="0" fontId="2" fillId="0" borderId="0" xfId="0" applyFont="1" applyAlignment="1">
      <alignment horizontal="left" vertical="justify" wrapText="1"/>
    </xf>
    <xf numFmtId="0" fontId="3" fillId="2" borderId="1" xfId="0" applyFont="1" applyFill="1" applyBorder="1"/>
    <xf numFmtId="14" fontId="2" fillId="0" borderId="0" xfId="0" applyNumberFormat="1" applyFont="1" applyAlignment="1">
      <alignment horizontal="left"/>
    </xf>
    <xf numFmtId="0" fontId="2" fillId="0" borderId="1" xfId="0" applyFont="1" applyBorder="1" applyAlignment="1">
      <alignment horizontal="left" vertical="justify" wrapText="1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14" fontId="2" fillId="0" borderId="0" xfId="0" applyNumberFormat="1" applyFont="1"/>
    <xf numFmtId="3" fontId="2" fillId="0" borderId="0" xfId="0" applyNumberFormat="1" applyFont="1"/>
    <xf numFmtId="0" fontId="2" fillId="0" borderId="0" xfId="0" applyFont="1" applyAlignment="1">
      <alignment horizontal="left"/>
    </xf>
    <xf numFmtId="49" fontId="2" fillId="0" borderId="0" xfId="0" applyNumberFormat="1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5" fillId="0" borderId="0" xfId="2" applyFont="1" applyAlignment="1">
      <alignment horizontal="left"/>
    </xf>
    <xf numFmtId="14" fontId="5" fillId="0" borderId="0" xfId="2" applyNumberFormat="1" applyFont="1" applyAlignment="1">
      <alignment horizontal="left"/>
    </xf>
    <xf numFmtId="14" fontId="2" fillId="0" borderId="0" xfId="0" applyNumberFormat="1" applyFont="1" applyAlignment="1">
      <alignment horizontal="left" vertical="justify" wrapText="1"/>
    </xf>
    <xf numFmtId="164" fontId="3" fillId="0" borderId="0" xfId="0" applyNumberFormat="1" applyFont="1" applyAlignment="1">
      <alignment horizontal="center"/>
    </xf>
    <xf numFmtId="0" fontId="6" fillId="0" borderId="0" xfId="2" applyFont="1" applyAlignment="1">
      <alignment horizontal="left"/>
    </xf>
    <xf numFmtId="14" fontId="2" fillId="0" borderId="0" xfId="0" applyNumberFormat="1" applyFont="1" applyAlignment="1">
      <alignment vertical="justify" wrapText="1"/>
    </xf>
    <xf numFmtId="0" fontId="2" fillId="0" borderId="0" xfId="0" applyFont="1" applyAlignment="1">
      <alignment vertical="justify" wrapText="1"/>
    </xf>
    <xf numFmtId="0" fontId="6" fillId="0" borderId="1" xfId="2" applyFont="1" applyBorder="1" applyAlignment="1">
      <alignment horizontal="left"/>
    </xf>
    <xf numFmtId="0" fontId="5" fillId="0" borderId="1" xfId="2" applyFont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3" fontId="3" fillId="0" borderId="0" xfId="0" applyNumberFormat="1" applyFont="1" applyAlignment="1">
      <alignment horizontal="left"/>
    </xf>
    <xf numFmtId="164" fontId="2" fillId="0" borderId="0" xfId="0" applyNumberFormat="1" applyFont="1" applyAlignment="1">
      <alignment horizontal="center"/>
    </xf>
    <xf numFmtId="14" fontId="3" fillId="0" borderId="0" xfId="0" applyNumberFormat="1" applyFont="1"/>
    <xf numFmtId="0" fontId="3" fillId="0" borderId="0" xfId="0" applyFont="1"/>
    <xf numFmtId="0" fontId="5" fillId="0" borderId="1" xfId="2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14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 vertical="top" wrapText="1"/>
    </xf>
    <xf numFmtId="49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top" wrapText="1"/>
    </xf>
    <xf numFmtId="14" fontId="10" fillId="0" borderId="0" xfId="0" applyNumberFormat="1" applyFont="1" applyAlignment="1">
      <alignment vertical="top" wrapText="1"/>
    </xf>
    <xf numFmtId="0" fontId="10" fillId="0" borderId="0" xfId="0" applyFont="1" applyAlignment="1">
      <alignment vertical="top" wrapText="1"/>
    </xf>
    <xf numFmtId="0" fontId="11" fillId="0" borderId="0" xfId="0" applyFont="1" applyAlignment="1">
      <alignment vertical="center" wrapText="1"/>
    </xf>
    <xf numFmtId="0" fontId="10" fillId="0" borderId="0" xfId="0" applyFont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3" fillId="0" borderId="0" xfId="0" applyFont="1" applyAlignment="1" applyProtection="1">
      <alignment horizontal="center" vertical="top" wrapText="1"/>
      <protection locked="0"/>
    </xf>
    <xf numFmtId="0" fontId="14" fillId="0" borderId="1" xfId="0" applyFont="1" applyBorder="1" applyAlignment="1">
      <alignment horizontal="left" vertical="top" wrapText="1"/>
    </xf>
    <xf numFmtId="14" fontId="10" fillId="0" borderId="0" xfId="0" applyNumberFormat="1" applyFont="1" applyAlignment="1">
      <alignment horizontal="left" vertical="top" wrapText="1"/>
    </xf>
    <xf numFmtId="0" fontId="10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top" wrapText="1"/>
    </xf>
    <xf numFmtId="0" fontId="10" fillId="4" borderId="0" xfId="0" applyFont="1" applyFill="1" applyAlignment="1">
      <alignment horizontal="center" vertical="top" wrapText="1"/>
    </xf>
    <xf numFmtId="0" fontId="12" fillId="0" borderId="1" xfId="0" applyFont="1" applyBorder="1" applyAlignment="1">
      <alignment horizontal="left"/>
    </xf>
    <xf numFmtId="14" fontId="10" fillId="0" borderId="0" xfId="0" applyNumberFormat="1" applyFont="1" applyAlignment="1">
      <alignment horizontal="center" vertical="top" wrapText="1"/>
    </xf>
    <xf numFmtId="0" fontId="11" fillId="0" borderId="0" xfId="0" applyFont="1" applyAlignment="1">
      <alignment horizontal="center" vertical="center" wrapText="1"/>
    </xf>
    <xf numFmtId="0" fontId="15" fillId="4" borderId="0" xfId="0" applyFont="1" applyFill="1" applyAlignment="1">
      <alignment horizontal="center" vertical="top" wrapText="1"/>
    </xf>
    <xf numFmtId="0" fontId="15" fillId="0" borderId="0" xfId="0" applyFont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0" fontId="14" fillId="0" borderId="0" xfId="0" applyFont="1" applyAlignment="1">
      <alignment horizontal="center" vertical="top" wrapText="1"/>
    </xf>
    <xf numFmtId="0" fontId="16" fillId="0" borderId="0" xfId="0" applyFont="1" applyAlignment="1">
      <alignment vertical="top" wrapText="1"/>
    </xf>
    <xf numFmtId="0" fontId="13" fillId="4" borderId="0" xfId="0" applyFont="1" applyFill="1" applyAlignment="1" applyProtection="1">
      <alignment horizontal="center" vertical="top" wrapText="1"/>
      <protection locked="0"/>
    </xf>
    <xf numFmtId="0" fontId="13" fillId="5" borderId="1" xfId="0" applyFont="1" applyFill="1" applyBorder="1" applyAlignment="1" applyProtection="1">
      <alignment horizontal="center" vertical="top" wrapText="1"/>
      <protection locked="0"/>
    </xf>
    <xf numFmtId="0" fontId="11" fillId="5" borderId="1" xfId="0" applyFont="1" applyFill="1" applyBorder="1" applyAlignment="1" applyProtection="1">
      <alignment horizontal="center" vertical="center" wrapText="1"/>
      <protection locked="0"/>
    </xf>
    <xf numFmtId="0" fontId="17" fillId="5" borderId="1" xfId="0" applyFont="1" applyFill="1" applyBorder="1" applyAlignment="1">
      <alignment horizontal="center"/>
    </xf>
    <xf numFmtId="49" fontId="2" fillId="6" borderId="0" xfId="0" applyNumberFormat="1" applyFont="1" applyFill="1" applyAlignment="1">
      <alignment horizontal="left" vertical="center"/>
    </xf>
    <xf numFmtId="0" fontId="13" fillId="4" borderId="0" xfId="0" applyFont="1" applyFill="1" applyAlignment="1">
      <alignment horizontal="center" vertical="top" wrapText="1"/>
    </xf>
    <xf numFmtId="0" fontId="11" fillId="4" borderId="0" xfId="0" applyFont="1" applyFill="1" applyAlignment="1">
      <alignment horizontal="center" vertical="center" wrapText="1"/>
    </xf>
    <xf numFmtId="0" fontId="14" fillId="4" borderId="0" xfId="0" applyFont="1" applyFill="1" applyAlignment="1">
      <alignment horizontal="left" vertical="top" wrapText="1"/>
    </xf>
    <xf numFmtId="0" fontId="18" fillId="0" borderId="0" xfId="0" applyFont="1" applyAlignment="1">
      <alignment horizontal="center" vertical="center"/>
    </xf>
    <xf numFmtId="14" fontId="13" fillId="0" borderId="0" xfId="0" applyNumberFormat="1" applyFont="1" applyAlignment="1" applyProtection="1">
      <alignment horizontal="center" vertical="top" wrapText="1"/>
      <protection locked="0"/>
    </xf>
    <xf numFmtId="0" fontId="11" fillId="0" borderId="0" xfId="0" applyFont="1" applyAlignment="1" applyProtection="1">
      <alignment horizontal="center" vertical="center" wrapText="1"/>
      <protection locked="0"/>
    </xf>
    <xf numFmtId="0" fontId="11" fillId="4" borderId="0" xfId="0" applyFont="1" applyFill="1" applyAlignment="1" applyProtection="1">
      <alignment horizontal="center" vertical="center" wrapText="1"/>
      <protection locked="0"/>
    </xf>
    <xf numFmtId="0" fontId="12" fillId="4" borderId="0" xfId="0" applyFont="1" applyFill="1" applyAlignment="1">
      <alignment horizontal="left"/>
    </xf>
    <xf numFmtId="0" fontId="4" fillId="0" borderId="0" xfId="0" applyFont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14" fontId="19" fillId="0" borderId="0" xfId="0" applyNumberFormat="1" applyFont="1" applyAlignment="1" applyProtection="1">
      <alignment horizontal="center" vertical="top" wrapText="1"/>
      <protection locked="0"/>
    </xf>
    <xf numFmtId="0" fontId="19" fillId="0" borderId="0" xfId="0" applyFont="1" applyAlignment="1" applyProtection="1">
      <alignment horizontal="center" vertical="top" wrapText="1"/>
      <protection locked="0"/>
    </xf>
    <xf numFmtId="0" fontId="17" fillId="4" borderId="0" xfId="0" applyFont="1" applyFill="1" applyAlignment="1">
      <alignment horizontal="center"/>
    </xf>
    <xf numFmtId="0" fontId="18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/>
    </xf>
    <xf numFmtId="14" fontId="5" fillId="0" borderId="0" xfId="2" applyNumberFormat="1" applyFont="1" applyAlignment="1">
      <alignment horizontal="center" vertical="center"/>
    </xf>
    <xf numFmtId="1" fontId="5" fillId="0" borderId="0" xfId="2" applyNumberFormat="1" applyFont="1" applyAlignment="1">
      <alignment horizontal="center" vertical="center"/>
    </xf>
    <xf numFmtId="3" fontId="5" fillId="0" borderId="0" xfId="2" applyNumberFormat="1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20" fontId="3" fillId="0" borderId="0" xfId="0" applyNumberFormat="1" applyFont="1" applyAlignment="1">
      <alignment horizontal="left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" fontId="20" fillId="0" borderId="0" xfId="0" applyNumberFormat="1" applyFont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 wrapText="1"/>
    </xf>
    <xf numFmtId="0" fontId="2" fillId="0" borderId="0" xfId="0" quotePrefix="1" applyFont="1" applyAlignment="1">
      <alignment horizontal="center"/>
    </xf>
    <xf numFmtId="1" fontId="2" fillId="6" borderId="0" xfId="0" applyNumberFormat="1" applyFont="1" applyFill="1" applyAlignment="1">
      <alignment horizontal="center" vertical="center"/>
    </xf>
    <xf numFmtId="14" fontId="2" fillId="6" borderId="0" xfId="0" applyNumberFormat="1" applyFont="1" applyFill="1" applyAlignment="1">
      <alignment horizontal="center" vertical="center"/>
    </xf>
    <xf numFmtId="3" fontId="2" fillId="6" borderId="0" xfId="0" applyNumberFormat="1" applyFont="1" applyFill="1" applyAlignment="1">
      <alignment horizontal="center" vertical="center"/>
    </xf>
    <xf numFmtId="0" fontId="3" fillId="6" borderId="0" xfId="0" applyFont="1" applyFill="1" applyAlignment="1">
      <alignment horizontal="center" vertical="center" wrapText="1"/>
    </xf>
    <xf numFmtId="165" fontId="18" fillId="0" borderId="0" xfId="2" applyNumberFormat="1" applyFont="1" applyAlignment="1">
      <alignment horizontal="center" vertical="center"/>
    </xf>
    <xf numFmtId="1" fontId="2" fillId="6" borderId="0" xfId="2" applyNumberFormat="1" applyFont="1" applyFill="1" applyAlignment="1">
      <alignment horizontal="center" vertical="center"/>
    </xf>
    <xf numFmtId="0" fontId="5" fillId="7" borderId="0" xfId="3" applyFont="1" applyFill="1" applyAlignment="1">
      <alignment horizontal="center" vertical="center" wrapText="1"/>
    </xf>
    <xf numFmtId="14" fontId="5" fillId="7" borderId="0" xfId="3" applyNumberFormat="1" applyFont="1" applyFill="1" applyAlignment="1">
      <alignment horizontal="center" vertical="center" wrapText="1"/>
    </xf>
    <xf numFmtId="3" fontId="2" fillId="6" borderId="0" xfId="2" applyNumberFormat="1" applyFont="1" applyFill="1" applyAlignment="1">
      <alignment horizontal="center" vertical="center"/>
    </xf>
    <xf numFmtId="0" fontId="5" fillId="7" borderId="0" xfId="3" applyFont="1" applyFill="1" applyAlignment="1">
      <alignment horizontal="left" vertical="center" wrapText="1"/>
    </xf>
    <xf numFmtId="0" fontId="6" fillId="7" borderId="0" xfId="3" applyFont="1" applyFill="1" applyAlignment="1">
      <alignment horizontal="left" vertical="center" wrapText="1"/>
    </xf>
    <xf numFmtId="0" fontId="6" fillId="7" borderId="0" xfId="3" applyFont="1" applyFill="1" applyAlignment="1">
      <alignment horizontal="center" vertical="center" wrapText="1"/>
    </xf>
    <xf numFmtId="0" fontId="4" fillId="4" borderId="0" xfId="0" applyFont="1" applyFill="1" applyAlignment="1">
      <alignment horizontal="center"/>
    </xf>
    <xf numFmtId="0" fontId="21" fillId="4" borderId="0" xfId="0" applyFont="1" applyFill="1" applyAlignment="1" applyProtection="1">
      <alignment horizontal="center" vertical="top" wrapText="1"/>
      <protection locked="0"/>
    </xf>
    <xf numFmtId="49" fontId="2" fillId="6" borderId="0" xfId="0" applyNumberFormat="1" applyFont="1" applyFill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1" fontId="22" fillId="6" borderId="0" xfId="2" applyNumberFormat="1" applyFont="1" applyFill="1" applyAlignment="1">
      <alignment horizontal="center" vertical="center"/>
    </xf>
    <xf numFmtId="17" fontId="5" fillId="7" borderId="0" xfId="3" applyNumberFormat="1" applyFont="1" applyFill="1" applyAlignment="1">
      <alignment horizontal="center" vertical="center" wrapText="1"/>
    </xf>
    <xf numFmtId="14" fontId="4" fillId="7" borderId="0" xfId="3" applyNumberFormat="1" applyFont="1" applyFill="1" applyAlignment="1">
      <alignment horizontal="center" vertical="center" wrapText="1"/>
    </xf>
    <xf numFmtId="0" fontId="2" fillId="4" borderId="0" xfId="0" applyFont="1" applyFill="1" applyAlignment="1">
      <alignment horizontal="center" vertical="center"/>
    </xf>
    <xf numFmtId="14" fontId="2" fillId="0" borderId="1" xfId="0" applyNumberFormat="1" applyFont="1" applyBorder="1" applyAlignment="1">
      <alignment horizontal="center"/>
    </xf>
    <xf numFmtId="49" fontId="2" fillId="6" borderId="1" xfId="0" applyNumberFormat="1" applyFont="1" applyFill="1" applyBorder="1" applyAlignment="1">
      <alignment horizontal="left" vertical="center"/>
    </xf>
    <xf numFmtId="1" fontId="20" fillId="0" borderId="1" xfId="0" applyNumberFormat="1" applyFont="1" applyBorder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4" fillId="9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justify" wrapText="1"/>
    </xf>
    <xf numFmtId="1" fontId="2" fillId="6" borderId="1" xfId="0" applyNumberFormat="1" applyFont="1" applyFill="1" applyBorder="1" applyAlignment="1">
      <alignment horizontal="center" vertical="center"/>
    </xf>
    <xf numFmtId="14" fontId="2" fillId="6" borderId="1" xfId="0" applyNumberFormat="1" applyFont="1" applyFill="1" applyBorder="1" applyAlignment="1">
      <alignment horizontal="center" vertical="center"/>
    </xf>
    <xf numFmtId="3" fontId="2" fillId="6" borderId="1" xfId="0" applyNumberFormat="1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/>
    </xf>
    <xf numFmtId="165" fontId="18" fillId="10" borderId="1" xfId="2" applyNumberFormat="1" applyFont="1" applyFill="1" applyBorder="1" applyAlignment="1">
      <alignment horizontal="center" vertical="center"/>
    </xf>
    <xf numFmtId="12" fontId="22" fillId="4" borderId="1" xfId="2" applyNumberFormat="1" applyFont="1" applyFill="1" applyBorder="1" applyAlignment="1">
      <alignment horizontal="center" vertical="center"/>
    </xf>
    <xf numFmtId="1" fontId="2" fillId="4" borderId="1" xfId="2" applyNumberFormat="1" applyFont="1" applyFill="1" applyBorder="1" applyAlignment="1">
      <alignment horizontal="center" vertical="center"/>
    </xf>
    <xf numFmtId="17" fontId="5" fillId="11" borderId="1" xfId="3" applyNumberFormat="1" applyFont="1" applyFill="1" applyBorder="1" applyAlignment="1">
      <alignment horizontal="center" vertical="center" wrapText="1"/>
    </xf>
    <xf numFmtId="14" fontId="4" fillId="11" borderId="1" xfId="3" applyNumberFormat="1" applyFont="1" applyFill="1" applyBorder="1" applyAlignment="1">
      <alignment horizontal="center" vertical="center" wrapText="1"/>
    </xf>
    <xf numFmtId="14" fontId="5" fillId="11" borderId="1" xfId="3" applyNumberFormat="1" applyFont="1" applyFill="1" applyBorder="1" applyAlignment="1">
      <alignment horizontal="center" vertical="center" wrapText="1"/>
    </xf>
    <xf numFmtId="3" fontId="2" fillId="4" borderId="1" xfId="2" applyNumberFormat="1" applyFont="1" applyFill="1" applyBorder="1" applyAlignment="1">
      <alignment horizontal="center" vertical="center"/>
    </xf>
    <xf numFmtId="49" fontId="2" fillId="0" borderId="1" xfId="4" applyNumberFormat="1" applyBorder="1"/>
    <xf numFmtId="0" fontId="6" fillId="11" borderId="1" xfId="3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/>
    </xf>
    <xf numFmtId="3" fontId="2" fillId="0" borderId="1" xfId="0" quotePrefix="1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6" borderId="1" xfId="2" applyNumberFormat="1" applyFont="1" applyFill="1" applyBorder="1" applyAlignment="1">
      <alignment horizontal="center" vertical="center"/>
    </xf>
    <xf numFmtId="17" fontId="5" fillId="11" borderId="1" xfId="3" applyNumberFormat="1" applyFill="1" applyBorder="1" applyAlignment="1">
      <alignment horizontal="center" vertical="center" wrapText="1"/>
    </xf>
    <xf numFmtId="14" fontId="5" fillId="4" borderId="1" xfId="3" applyNumberFormat="1" applyFill="1" applyBorder="1" applyAlignment="1">
      <alignment horizontal="center" vertical="center" wrapText="1"/>
    </xf>
    <xf numFmtId="0" fontId="6" fillId="4" borderId="1" xfId="3" applyFont="1" applyFill="1" applyBorder="1" applyAlignment="1">
      <alignment horizontal="left" vertical="center" wrapText="1"/>
    </xf>
    <xf numFmtId="17" fontId="5" fillId="7" borderId="1" xfId="3" applyNumberFormat="1" applyFont="1" applyFill="1" applyBorder="1" applyAlignment="1">
      <alignment horizontal="center" vertical="center" wrapText="1"/>
    </xf>
    <xf numFmtId="14" fontId="4" fillId="7" borderId="1" xfId="3" applyNumberFormat="1" applyFont="1" applyFill="1" applyBorder="1" applyAlignment="1">
      <alignment horizontal="center" vertical="center" wrapText="1"/>
    </xf>
    <xf numFmtId="14" fontId="5" fillId="4" borderId="1" xfId="3" applyNumberFormat="1" applyFont="1" applyFill="1" applyBorder="1" applyAlignment="1">
      <alignment horizontal="center" vertical="center" wrapText="1"/>
    </xf>
    <xf numFmtId="49" fontId="2" fillId="4" borderId="1" xfId="4" applyNumberFormat="1" applyFill="1" applyBorder="1"/>
    <xf numFmtId="49" fontId="2" fillId="0" borderId="0" xfId="4" applyNumberFormat="1"/>
    <xf numFmtId="1" fontId="7" fillId="13" borderId="1" xfId="3" applyNumberFormat="1" applyFont="1" applyFill="1" applyBorder="1" applyAlignment="1">
      <alignment horizontal="center" vertical="center" textRotation="180" wrapText="1"/>
    </xf>
    <xf numFmtId="0" fontId="7" fillId="13" borderId="1" xfId="3" applyFont="1" applyFill="1" applyBorder="1" applyAlignment="1">
      <alignment horizontal="center" vertical="center" textRotation="180" wrapText="1"/>
    </xf>
    <xf numFmtId="49" fontId="7" fillId="13" borderId="1" xfId="3" applyNumberFormat="1" applyFont="1" applyFill="1" applyBorder="1" applyAlignment="1">
      <alignment horizontal="center" vertical="center" textRotation="180" wrapText="1"/>
    </xf>
    <xf numFmtId="0" fontId="4" fillId="14" borderId="1" xfId="3" applyFont="1" applyFill="1" applyBorder="1" applyAlignment="1" applyProtection="1">
      <alignment horizontal="center" vertical="center" textRotation="255" wrapText="1"/>
      <protection locked="0"/>
    </xf>
    <xf numFmtId="0" fontId="4" fillId="14" borderId="1" xfId="3" applyFont="1" applyFill="1" applyBorder="1" applyAlignment="1" applyProtection="1">
      <alignment vertical="center" textRotation="255" wrapText="1"/>
      <protection locked="0"/>
    </xf>
    <xf numFmtId="0" fontId="25" fillId="14" borderId="1" xfId="3" applyFont="1" applyFill="1" applyBorder="1" applyAlignment="1" applyProtection="1">
      <alignment horizontal="center" vertical="center" textRotation="180" wrapText="1"/>
      <protection locked="0"/>
    </xf>
    <xf numFmtId="0" fontId="6" fillId="14" borderId="1" xfId="3" applyFont="1" applyFill="1" applyBorder="1" applyAlignment="1" applyProtection="1">
      <alignment horizontal="center" vertical="center" wrapText="1"/>
      <protection locked="0"/>
    </xf>
    <xf numFmtId="0" fontId="6" fillId="14" borderId="1" xfId="3" applyFont="1" applyFill="1" applyBorder="1" applyAlignment="1" applyProtection="1">
      <alignment horizontal="center" vertical="center" textRotation="180" wrapText="1"/>
      <protection locked="0"/>
    </xf>
    <xf numFmtId="0" fontId="23" fillId="0" borderId="0" xfId="0" applyFont="1"/>
    <xf numFmtId="0" fontId="3" fillId="0" borderId="1" xfId="0" applyFont="1" applyBorder="1"/>
    <xf numFmtId="1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 applyProtection="1">
      <alignment horizontal="center"/>
      <protection locked="0"/>
    </xf>
    <xf numFmtId="14" fontId="3" fillId="0" borderId="1" xfId="0" applyNumberFormat="1" applyFont="1" applyBorder="1" applyAlignment="1">
      <alignment horizontal="center"/>
    </xf>
    <xf numFmtId="0" fontId="3" fillId="8" borderId="1" xfId="0" applyFont="1" applyFill="1" applyBorder="1" applyAlignment="1">
      <alignment horizontal="center" vertical="center"/>
    </xf>
    <xf numFmtId="0" fontId="11" fillId="0" borderId="1" xfId="0" applyFont="1" applyBorder="1" applyAlignment="1" applyProtection="1">
      <alignment horizontal="center" vertical="center" wrapText="1"/>
      <protection locked="0" hidden="1"/>
    </xf>
    <xf numFmtId="0" fontId="13" fillId="0" borderId="1" xfId="0" applyFont="1" applyBorder="1" applyAlignment="1" applyProtection="1">
      <alignment horizontal="center" vertical="top" wrapText="1"/>
      <protection locked="0" hidden="1"/>
    </xf>
    <xf numFmtId="0" fontId="10" fillId="0" borderId="1" xfId="0" applyFont="1" applyBorder="1" applyAlignment="1" applyProtection="1">
      <alignment horizontal="center" vertical="top" wrapText="1"/>
      <protection locked="0" hidden="1"/>
    </xf>
    <xf numFmtId="0" fontId="3" fillId="0" borderId="0" xfId="0" applyFont="1" applyAlignment="1" applyProtection="1">
      <alignment horizontal="center" vertical="center"/>
      <protection locked="0" hidden="1"/>
    </xf>
    <xf numFmtId="0" fontId="8" fillId="0" borderId="0" xfId="0" applyFont="1" applyAlignment="1" applyProtection="1">
      <alignment vertical="top" wrapText="1"/>
      <protection locked="0" hidden="1"/>
    </xf>
    <xf numFmtId="0" fontId="8" fillId="0" borderId="0" xfId="0" applyFont="1" applyAlignment="1" applyProtection="1">
      <alignment horizontal="center" vertical="top" wrapText="1"/>
      <protection locked="0" hidden="1"/>
    </xf>
    <xf numFmtId="0" fontId="5" fillId="0" borderId="0" xfId="2" applyFont="1" applyAlignment="1" applyProtection="1">
      <alignment horizontal="left"/>
      <protection locked="0" hidden="1"/>
    </xf>
    <xf numFmtId="0" fontId="3" fillId="2" borderId="1" xfId="0" applyFont="1" applyFill="1" applyBorder="1" applyAlignment="1" applyProtection="1">
      <alignment horizontal="center"/>
      <protection locked="0" hidden="1"/>
    </xf>
    <xf numFmtId="0" fontId="6" fillId="2" borderId="1" xfId="2" applyFont="1" applyFill="1" applyBorder="1" applyAlignment="1" applyProtection="1">
      <alignment horizontal="center"/>
      <protection locked="0" hidden="1"/>
    </xf>
    <xf numFmtId="3" fontId="5" fillId="0" borderId="0" xfId="2" applyNumberFormat="1" applyFont="1" applyAlignment="1" applyProtection="1">
      <alignment horizontal="left"/>
      <protection locked="0" hidden="1"/>
    </xf>
    <xf numFmtId="10" fontId="5" fillId="0" borderId="1" xfId="2" applyNumberFormat="1" applyFont="1" applyBorder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left"/>
      <protection locked="0" hidden="1"/>
    </xf>
    <xf numFmtId="0" fontId="3" fillId="0" borderId="0" xfId="0" applyFont="1" applyAlignment="1" applyProtection="1">
      <alignment horizontal="center"/>
      <protection locked="0" hidden="1"/>
    </xf>
    <xf numFmtId="0" fontId="3" fillId="0" borderId="1" xfId="0" applyFont="1" applyBorder="1" applyAlignment="1" applyProtection="1">
      <alignment horizontal="center" vertical="center"/>
      <protection locked="0" hidden="1"/>
    </xf>
    <xf numFmtId="10" fontId="3" fillId="0" borderId="1" xfId="0" applyNumberFormat="1" applyFont="1" applyBorder="1" applyAlignment="1" applyProtection="1">
      <alignment horizontal="center"/>
      <protection locked="0" hidden="1"/>
    </xf>
    <xf numFmtId="0" fontId="7" fillId="3" borderId="1" xfId="0" applyFont="1" applyFill="1" applyBorder="1" applyAlignment="1" applyProtection="1">
      <alignment horizontal="center"/>
      <protection locked="0" hidden="1"/>
    </xf>
    <xf numFmtId="0" fontId="7" fillId="3" borderId="1" xfId="2" applyFont="1" applyFill="1" applyBorder="1" applyAlignment="1" applyProtection="1">
      <alignment horizontal="center"/>
      <protection locked="0" hidden="1"/>
    </xf>
    <xf numFmtId="0" fontId="6" fillId="0" borderId="0" xfId="2" applyFont="1" applyAlignment="1" applyProtection="1">
      <alignment horizontal="left"/>
      <protection locked="0" hidden="1"/>
    </xf>
    <xf numFmtId="0" fontId="6" fillId="0" borderId="1" xfId="2" applyFont="1" applyBorder="1" applyAlignment="1" applyProtection="1">
      <alignment horizontal="center"/>
      <protection locked="0" hidden="1"/>
    </xf>
    <xf numFmtId="10" fontId="6" fillId="0" borderId="1" xfId="2" applyNumberFormat="1" applyFont="1" applyBorder="1" applyAlignment="1" applyProtection="1">
      <alignment horizontal="center"/>
      <protection locked="0" hidden="1"/>
    </xf>
    <xf numFmtId="0" fontId="6" fillId="0" borderId="0" xfId="2" applyFont="1" applyAlignment="1" applyProtection="1">
      <alignment horizontal="center"/>
      <protection locked="0" hidden="1"/>
    </xf>
    <xf numFmtId="10" fontId="6" fillId="0" borderId="0" xfId="2" applyNumberFormat="1" applyFont="1" applyAlignment="1" applyProtection="1">
      <alignment horizont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3" fillId="0" borderId="1" xfId="0" applyFont="1" applyBorder="1" applyAlignment="1" applyProtection="1">
      <alignment horizontal="center"/>
      <protection locked="0" hidden="1"/>
    </xf>
    <xf numFmtId="10" fontId="3" fillId="0" borderId="1" xfId="0" applyNumberFormat="1" applyFont="1" applyBorder="1" applyAlignment="1" applyProtection="1">
      <alignment horizontal="center" vertical="justify" wrapText="1"/>
      <protection locked="0" hidden="1"/>
    </xf>
    <xf numFmtId="0" fontId="2" fillId="0" borderId="0" xfId="0" applyFont="1" applyAlignment="1" applyProtection="1">
      <alignment horizontal="left" vertical="justify" wrapText="1"/>
      <protection locked="0" hidden="1"/>
    </xf>
    <xf numFmtId="0" fontId="2" fillId="0" borderId="0" xfId="0" applyFont="1" applyAlignment="1" applyProtection="1">
      <alignment horizontal="center"/>
      <protection locked="0" hidden="1"/>
    </xf>
    <xf numFmtId="0" fontId="5" fillId="2" borderId="1" xfId="2" applyFont="1" applyFill="1" applyBorder="1" applyAlignment="1" applyProtection="1">
      <alignment horizontal="center"/>
      <protection locked="0" hidden="1"/>
    </xf>
    <xf numFmtId="0" fontId="2" fillId="0" borderId="0" xfId="0" applyFont="1" applyProtection="1">
      <protection locked="0" hidden="1"/>
    </xf>
    <xf numFmtId="10" fontId="2" fillId="0" borderId="1" xfId="0" applyNumberFormat="1" applyFont="1" applyBorder="1" applyAlignment="1" applyProtection="1">
      <alignment horizontal="center"/>
      <protection locked="0" hidden="1"/>
    </xf>
    <xf numFmtId="10" fontId="3" fillId="0" borderId="1" xfId="0" applyNumberFormat="1" applyFont="1" applyBorder="1" applyAlignment="1" applyProtection="1">
      <alignment horizontal="center" shrinkToFit="1"/>
      <protection locked="0" hidden="1"/>
    </xf>
    <xf numFmtId="0" fontId="2" fillId="0" borderId="0" xfId="0" applyFont="1" applyAlignment="1" applyProtection="1">
      <alignment shrinkToFit="1"/>
      <protection locked="0" hidden="1"/>
    </xf>
    <xf numFmtId="0" fontId="2" fillId="2" borderId="1" xfId="0" applyFont="1" applyFill="1" applyBorder="1" applyProtection="1">
      <protection locked="0" hidden="1"/>
    </xf>
    <xf numFmtId="0" fontId="2" fillId="2" borderId="1" xfId="0" applyFont="1" applyFill="1" applyBorder="1" applyAlignment="1" applyProtection="1">
      <alignment horizontal="center"/>
      <protection locked="0" hidden="1"/>
    </xf>
    <xf numFmtId="3" fontId="2" fillId="0" borderId="1" xfId="0" applyNumberFormat="1" applyFont="1" applyBorder="1" applyAlignment="1" applyProtection="1">
      <alignment horizontal="center" vertical="center"/>
      <protection locked="0" hidden="1"/>
    </xf>
    <xf numFmtId="3" fontId="2" fillId="0" borderId="1" xfId="0" applyNumberFormat="1" applyFont="1" applyBorder="1" applyAlignment="1" applyProtection="1">
      <alignment horizontal="center"/>
      <protection locked="0" hidden="1"/>
    </xf>
    <xf numFmtId="10" fontId="3" fillId="2" borderId="1" xfId="0" applyNumberFormat="1" applyFont="1" applyFill="1" applyBorder="1" applyAlignment="1" applyProtection="1">
      <alignment horizontal="center"/>
      <protection locked="0" hidden="1"/>
    </xf>
    <xf numFmtId="0" fontId="3" fillId="2" borderId="3" xfId="0" applyFont="1" applyFill="1" applyBorder="1" applyAlignment="1" applyProtection="1">
      <alignment horizontal="center"/>
      <protection locked="0" hidden="1"/>
    </xf>
    <xf numFmtId="0" fontId="3" fillId="2" borderId="2" xfId="0" applyFont="1" applyFill="1" applyBorder="1" applyAlignment="1" applyProtection="1">
      <alignment horizontal="center"/>
      <protection locked="0" hidden="1"/>
    </xf>
    <xf numFmtId="3" fontId="2" fillId="0" borderId="0" xfId="0" applyNumberFormat="1" applyFont="1" applyAlignment="1" applyProtection="1">
      <alignment horizontal="center"/>
      <protection locked="0" hidden="1"/>
    </xf>
    <xf numFmtId="10" fontId="2" fillId="0" borderId="1" xfId="1" applyNumberFormat="1" applyFont="1" applyBorder="1" applyAlignment="1" applyProtection="1">
      <alignment horizontal="center"/>
      <protection locked="0" hidden="1"/>
    </xf>
    <xf numFmtId="0" fontId="6" fillId="14" borderId="1" xfId="3" applyFont="1" applyFill="1" applyBorder="1" applyAlignment="1" applyProtection="1">
      <alignment horizontal="center" vertical="center" textRotation="180" wrapText="1"/>
      <protection locked="0"/>
    </xf>
    <xf numFmtId="0" fontId="4" fillId="14" borderId="1" xfId="3" applyFont="1" applyFill="1" applyBorder="1" applyAlignment="1" applyProtection="1">
      <alignment horizontal="center" vertical="center" wrapText="1"/>
      <protection locked="0"/>
    </xf>
    <xf numFmtId="0" fontId="6" fillId="14" borderId="1" xfId="3" applyFont="1" applyFill="1" applyBorder="1" applyAlignment="1" applyProtection="1">
      <alignment horizontal="center" vertical="center" wrapText="1"/>
      <protection locked="0"/>
    </xf>
    <xf numFmtId="0" fontId="25" fillId="14" borderId="1" xfId="3" applyFont="1" applyFill="1" applyBorder="1" applyAlignment="1" applyProtection="1">
      <alignment horizontal="center" vertical="center" wrapText="1"/>
      <protection locked="0"/>
    </xf>
    <xf numFmtId="0" fontId="27" fillId="14" borderId="1" xfId="3" applyFont="1" applyFill="1" applyBorder="1" applyAlignment="1" applyProtection="1">
      <alignment horizontal="center" vertical="center" wrapText="1"/>
      <protection locked="0"/>
    </xf>
    <xf numFmtId="49" fontId="6" fillId="14" borderId="1" xfId="3" applyNumberFormat="1" applyFont="1" applyFill="1" applyBorder="1" applyAlignment="1" applyProtection="1">
      <alignment horizontal="center" vertical="center" textRotation="180" wrapText="1"/>
      <protection locked="0"/>
    </xf>
    <xf numFmtId="49" fontId="3" fillId="12" borderId="1" xfId="0" applyNumberFormat="1" applyFont="1" applyFill="1" applyBorder="1" applyAlignment="1">
      <alignment horizontal="center" vertical="center"/>
    </xf>
    <xf numFmtId="0" fontId="26" fillId="13" borderId="1" xfId="3" applyFont="1" applyFill="1" applyBorder="1" applyAlignment="1">
      <alignment horizontal="center" vertical="center" wrapText="1"/>
    </xf>
  </cellXfs>
  <cellStyles count="7">
    <cellStyle name="Hiperlink 3" xfId="5"/>
    <cellStyle name="Normal" xfId="0" builtinId="0"/>
    <cellStyle name="Normal 2" xfId="4"/>
    <cellStyle name="Normal 3 2" xfId="6"/>
    <cellStyle name="Normal_Plan1" xfId="3"/>
    <cellStyle name="Normal_TodasCulturas" xfId="2"/>
    <cellStyle name="Porcentagem" xfId="1" builtinId="5"/>
  </cellStyles>
  <dxfs count="31"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ont>
        <b/>
        <i val="0"/>
        <condense val="0"/>
        <extend val="0"/>
        <color indexed="10"/>
      </font>
    </dxf>
    <dxf>
      <font>
        <b val="0"/>
        <i val="0"/>
        <condense val="0"/>
        <extend val="0"/>
        <color auto="1"/>
      </font>
    </dxf>
    <dxf>
      <fill>
        <patternFill patternType="solid">
          <fgColor rgb="FFFFFFFF"/>
          <bgColor rgb="FF00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829"/>
  <sheetViews>
    <sheetView tabSelected="1" zoomScale="90" zoomScaleNormal="90" workbookViewId="0">
      <pane xSplit="3" ySplit="3" topLeftCell="D4" activePane="bottomRight" state="frozen"/>
      <selection pane="topRight" activeCell="E1" sqref="E1"/>
      <selection pane="bottomLeft" activeCell="A4" sqref="A4"/>
      <selection pane="bottomRight" activeCell="A4" sqref="A4"/>
    </sheetView>
  </sheetViews>
  <sheetFormatPr defaultColWidth="9.140625" defaultRowHeight="10.5" customHeight="1"/>
  <cols>
    <col min="1" max="2" width="8.5703125" style="9" customWidth="1"/>
    <col min="3" max="3" width="32.7109375" style="3" customWidth="1"/>
    <col min="4" max="4" width="23.5703125" style="3" customWidth="1"/>
    <col min="5" max="5" width="22.85546875" style="3" customWidth="1"/>
    <col min="6" max="6" width="12.28515625" style="5" customWidth="1"/>
    <col min="7" max="7" width="10.85546875" style="7" customWidth="1"/>
    <col min="8" max="9" width="12.7109375" style="7" customWidth="1"/>
    <col min="10" max="10" width="11.28515625" style="3" customWidth="1"/>
    <col min="11" max="11" width="10.7109375" style="3" customWidth="1"/>
    <col min="12" max="12" width="9.5703125" style="3" customWidth="1"/>
    <col min="13" max="13" width="14.28515625" style="7" customWidth="1"/>
    <col min="14" max="14" width="22.140625" style="3" customWidth="1"/>
    <col min="15" max="15" width="16" style="3" customWidth="1"/>
    <col min="16" max="16" width="7.28515625" style="8" customWidth="1"/>
    <col min="17" max="17" width="11" style="3" customWidth="1"/>
    <col min="18" max="18" width="10" style="3" customWidth="1"/>
    <col min="19" max="19" width="14.140625" style="7" customWidth="1"/>
    <col min="20" max="20" width="6.7109375" style="4" customWidth="1"/>
    <col min="21" max="21" width="33.140625" style="6" customWidth="1"/>
    <col min="22" max="24" width="6.7109375" style="6" customWidth="1"/>
    <col min="25" max="25" width="11.28515625" style="3" customWidth="1"/>
    <col min="26" max="26" width="13.85546875" style="3" customWidth="1"/>
    <col min="27" max="27" width="11.28515625" style="5" customWidth="1"/>
    <col min="28" max="28" width="11.85546875" style="3" customWidth="1"/>
    <col min="29" max="29" width="8.85546875" style="4" customWidth="1"/>
    <col min="30" max="30" width="12.28515625" style="4" customWidth="1"/>
    <col min="31" max="31" width="25.7109375" style="1" customWidth="1"/>
    <col min="32" max="32" width="56" style="1" bestFit="1" customWidth="1"/>
    <col min="33" max="16384" width="9.140625" style="1"/>
  </cols>
  <sheetData>
    <row r="1" spans="1:32" ht="15" customHeight="1">
      <c r="A1" s="47"/>
      <c r="B1" s="173">
        <f>COUNTIF(B4:B39,"2019")</f>
        <v>26</v>
      </c>
      <c r="C1" s="18">
        <f>C41</f>
        <v>36</v>
      </c>
      <c r="D1" s="18"/>
      <c r="E1" s="18"/>
      <c r="F1" s="170"/>
      <c r="G1" s="172"/>
      <c r="H1" s="172"/>
      <c r="I1" s="172"/>
      <c r="J1" s="18"/>
      <c r="K1" s="18"/>
      <c r="L1" s="18"/>
      <c r="M1" s="172"/>
      <c r="N1" s="133"/>
      <c r="O1" s="18">
        <f>O41</f>
        <v>36</v>
      </c>
      <c r="P1" s="170"/>
      <c r="Q1" s="18"/>
      <c r="R1" s="18"/>
      <c r="S1" s="172"/>
      <c r="T1" s="169"/>
      <c r="U1" s="171"/>
      <c r="V1" s="171"/>
      <c r="W1" s="171"/>
      <c r="X1" s="171"/>
      <c r="Y1" s="18"/>
      <c r="Z1" s="18"/>
      <c r="AA1" s="170"/>
      <c r="AB1" s="18"/>
      <c r="AC1" s="169"/>
      <c r="AD1" s="169"/>
      <c r="AE1" s="168"/>
      <c r="AF1" s="168"/>
    </row>
    <row r="2" spans="1:32" s="167" customFormat="1" ht="27" customHeight="1">
      <c r="A2" s="217">
        <f>C41</f>
        <v>36</v>
      </c>
      <c r="B2" s="217" t="s">
        <v>200</v>
      </c>
      <c r="C2" s="217" t="s">
        <v>199</v>
      </c>
      <c r="D2" s="217" t="s">
        <v>198</v>
      </c>
      <c r="E2" s="217" t="s">
        <v>197</v>
      </c>
      <c r="F2" s="215" t="s">
        <v>196</v>
      </c>
      <c r="G2" s="215" t="s">
        <v>195</v>
      </c>
      <c r="H2" s="215" t="s">
        <v>194</v>
      </c>
      <c r="I2" s="216" t="s">
        <v>193</v>
      </c>
      <c r="J2" s="217" t="s">
        <v>192</v>
      </c>
      <c r="K2" s="215" t="s">
        <v>191</v>
      </c>
      <c r="L2" s="215" t="s">
        <v>190</v>
      </c>
      <c r="M2" s="215" t="s">
        <v>189</v>
      </c>
      <c r="N2" s="217" t="s">
        <v>188</v>
      </c>
      <c r="O2" s="220" t="s">
        <v>187</v>
      </c>
      <c r="P2" s="219" t="s">
        <v>186</v>
      </c>
      <c r="Q2" s="219"/>
      <c r="R2" s="219"/>
      <c r="S2" s="219"/>
      <c r="T2" s="219"/>
      <c r="U2" s="217" t="s">
        <v>185</v>
      </c>
      <c r="V2" s="218" t="s">
        <v>184</v>
      </c>
      <c r="W2" s="218"/>
      <c r="X2" s="218"/>
      <c r="Y2" s="222" t="s">
        <v>183</v>
      </c>
      <c r="Z2" s="222"/>
      <c r="AA2" s="222"/>
      <c r="AB2" s="222"/>
      <c r="AC2" s="222"/>
      <c r="AD2" s="222"/>
      <c r="AE2" s="221" t="s">
        <v>36</v>
      </c>
      <c r="AF2" s="221" t="s">
        <v>182</v>
      </c>
    </row>
    <row r="3" spans="1:32" ht="106.5" customHeight="1">
      <c r="A3" s="217"/>
      <c r="B3" s="217"/>
      <c r="C3" s="217"/>
      <c r="D3" s="217"/>
      <c r="E3" s="217"/>
      <c r="F3" s="215"/>
      <c r="G3" s="215"/>
      <c r="H3" s="215"/>
      <c r="I3" s="216"/>
      <c r="J3" s="217"/>
      <c r="K3" s="215"/>
      <c r="L3" s="215"/>
      <c r="M3" s="215"/>
      <c r="N3" s="217"/>
      <c r="O3" s="220"/>
      <c r="P3" s="166" t="s">
        <v>181</v>
      </c>
      <c r="Q3" s="166" t="s">
        <v>180</v>
      </c>
      <c r="R3" s="165" t="s">
        <v>179</v>
      </c>
      <c r="S3" s="165" t="s">
        <v>178</v>
      </c>
      <c r="T3" s="165" t="s">
        <v>177</v>
      </c>
      <c r="U3" s="217"/>
      <c r="V3" s="164" t="s">
        <v>176</v>
      </c>
      <c r="W3" s="163" t="s">
        <v>175</v>
      </c>
      <c r="X3" s="162" t="s">
        <v>174</v>
      </c>
      <c r="Y3" s="160" t="s">
        <v>173</v>
      </c>
      <c r="Z3" s="160" t="s">
        <v>172</v>
      </c>
      <c r="AA3" s="161" t="s">
        <v>171</v>
      </c>
      <c r="AB3" s="160" t="s">
        <v>170</v>
      </c>
      <c r="AC3" s="159" t="s">
        <v>169</v>
      </c>
      <c r="AD3" s="159" t="s">
        <v>168</v>
      </c>
      <c r="AE3" s="221"/>
      <c r="AF3" s="221"/>
    </row>
    <row r="4" spans="1:32" ht="15.75" customHeight="1">
      <c r="A4" s="147">
        <v>1</v>
      </c>
      <c r="B4" s="147">
        <v>2019</v>
      </c>
      <c r="C4" s="146" t="s">
        <v>167</v>
      </c>
      <c r="D4" s="145" t="s">
        <v>164</v>
      </c>
      <c r="E4" s="145" t="s">
        <v>163</v>
      </c>
      <c r="F4" s="144">
        <v>23</v>
      </c>
      <c r="G4" s="143">
        <v>43531</v>
      </c>
      <c r="H4" s="143">
        <v>43530</v>
      </c>
      <c r="I4" s="142">
        <f t="shared" ref="I4:I39" si="0">G4</f>
        <v>43531</v>
      </c>
      <c r="J4" s="141">
        <v>43525</v>
      </c>
      <c r="K4" s="140">
        <v>180</v>
      </c>
      <c r="L4" s="139">
        <f t="shared" ref="L4:L39" si="1">WEEKDAY(H4,1)</f>
        <v>4</v>
      </c>
      <c r="M4" s="138">
        <f>SUM(I4+K4)</f>
        <v>43711</v>
      </c>
      <c r="N4" s="47" t="s">
        <v>66</v>
      </c>
      <c r="O4" s="136" t="s">
        <v>98</v>
      </c>
      <c r="P4" s="130">
        <v>87</v>
      </c>
      <c r="Q4" s="129">
        <v>43565</v>
      </c>
      <c r="R4" s="135">
        <v>20994</v>
      </c>
      <c r="S4" s="134">
        <v>43566</v>
      </c>
      <c r="T4" s="133">
        <v>1</v>
      </c>
      <c r="U4" s="149" t="s">
        <v>38</v>
      </c>
      <c r="V4" s="131" t="s">
        <v>97</v>
      </c>
      <c r="W4" s="131" t="s">
        <v>97</v>
      </c>
      <c r="X4" s="131"/>
      <c r="Y4" s="149">
        <v>907</v>
      </c>
      <c r="Z4" s="126">
        <v>43556</v>
      </c>
      <c r="AA4" s="128">
        <v>63</v>
      </c>
      <c r="AB4" s="129">
        <v>43557</v>
      </c>
      <c r="AC4" s="128">
        <v>11</v>
      </c>
      <c r="AD4" s="128" t="s">
        <v>96</v>
      </c>
      <c r="AE4" s="127" t="s">
        <v>30</v>
      </c>
      <c r="AF4" s="127" t="s">
        <v>30</v>
      </c>
    </row>
    <row r="5" spans="1:32" ht="15.75" customHeight="1">
      <c r="A5" s="147">
        <v>2</v>
      </c>
      <c r="B5" s="147">
        <v>2019</v>
      </c>
      <c r="C5" s="146" t="s">
        <v>166</v>
      </c>
      <c r="D5" s="145" t="s">
        <v>147</v>
      </c>
      <c r="E5" s="145" t="s">
        <v>146</v>
      </c>
      <c r="F5" s="144">
        <v>20</v>
      </c>
      <c r="G5" s="143">
        <v>43513</v>
      </c>
      <c r="H5" s="143">
        <v>43512</v>
      </c>
      <c r="I5" s="142">
        <f t="shared" si="0"/>
        <v>43513</v>
      </c>
      <c r="J5" s="141">
        <v>43497</v>
      </c>
      <c r="K5" s="140">
        <v>180</v>
      </c>
      <c r="L5" s="139">
        <f t="shared" si="1"/>
        <v>7</v>
      </c>
      <c r="M5" s="138">
        <f>SUM(I5+K5)</f>
        <v>43693</v>
      </c>
      <c r="N5" s="47" t="s">
        <v>99</v>
      </c>
      <c r="O5" s="136" t="s">
        <v>98</v>
      </c>
      <c r="P5" s="130">
        <v>84</v>
      </c>
      <c r="Q5" s="129">
        <v>43556</v>
      </c>
      <c r="R5" s="135">
        <v>20987</v>
      </c>
      <c r="S5" s="134">
        <v>43557</v>
      </c>
      <c r="T5" s="133">
        <v>1</v>
      </c>
      <c r="U5" s="149" t="s">
        <v>38</v>
      </c>
      <c r="V5" s="131" t="s">
        <v>97</v>
      </c>
      <c r="W5" s="131" t="s">
        <v>97</v>
      </c>
      <c r="X5" s="131"/>
      <c r="Y5" s="149">
        <v>825</v>
      </c>
      <c r="Z5" s="126">
        <v>43549</v>
      </c>
      <c r="AA5" s="128">
        <v>60</v>
      </c>
      <c r="AB5" s="129">
        <v>43552</v>
      </c>
      <c r="AC5" s="128">
        <v>12</v>
      </c>
      <c r="AD5" s="128" t="s">
        <v>96</v>
      </c>
      <c r="AE5" s="127" t="s">
        <v>30</v>
      </c>
      <c r="AF5" s="127" t="s">
        <v>30</v>
      </c>
    </row>
    <row r="6" spans="1:32" ht="15.75" customHeight="1">
      <c r="A6" s="147">
        <v>3</v>
      </c>
      <c r="B6" s="147">
        <v>2019</v>
      </c>
      <c r="C6" s="146" t="s">
        <v>165</v>
      </c>
      <c r="D6" s="145" t="s">
        <v>164</v>
      </c>
      <c r="E6" s="145" t="s">
        <v>163</v>
      </c>
      <c r="F6" s="144">
        <v>10</v>
      </c>
      <c r="G6" s="143">
        <v>43535</v>
      </c>
      <c r="H6" s="143">
        <v>43530</v>
      </c>
      <c r="I6" s="142">
        <f t="shared" si="0"/>
        <v>43535</v>
      </c>
      <c r="J6" s="141">
        <v>43525</v>
      </c>
      <c r="K6" s="140">
        <v>180</v>
      </c>
      <c r="L6" s="139">
        <f t="shared" si="1"/>
        <v>4</v>
      </c>
      <c r="M6" s="138">
        <f>SUM(I6+K6)</f>
        <v>43715</v>
      </c>
      <c r="N6" s="47" t="s">
        <v>66</v>
      </c>
      <c r="O6" s="136" t="s">
        <v>98</v>
      </c>
      <c r="P6" s="130">
        <v>87</v>
      </c>
      <c r="Q6" s="129">
        <v>43565</v>
      </c>
      <c r="R6" s="135">
        <v>20994</v>
      </c>
      <c r="S6" s="134">
        <v>43566</v>
      </c>
      <c r="T6" s="133">
        <v>1</v>
      </c>
      <c r="U6" s="149" t="s">
        <v>38</v>
      </c>
      <c r="V6" s="131" t="s">
        <v>97</v>
      </c>
      <c r="W6" s="131" t="s">
        <v>97</v>
      </c>
      <c r="X6" s="131"/>
      <c r="Y6" s="149"/>
      <c r="Z6" s="126"/>
      <c r="AA6" s="128"/>
      <c r="AB6" s="129"/>
      <c r="AC6" s="128"/>
      <c r="AD6" s="128"/>
      <c r="AE6" s="127" t="s">
        <v>32</v>
      </c>
      <c r="AF6" s="127" t="s">
        <v>32</v>
      </c>
    </row>
    <row r="7" spans="1:32" ht="15.75" customHeight="1">
      <c r="A7" s="147">
        <v>4</v>
      </c>
      <c r="B7" s="147">
        <v>2019</v>
      </c>
      <c r="C7" s="146" t="s">
        <v>162</v>
      </c>
      <c r="D7" s="145" t="s">
        <v>147</v>
      </c>
      <c r="E7" s="145" t="s">
        <v>146</v>
      </c>
      <c r="F7" s="144">
        <v>1501</v>
      </c>
      <c r="G7" s="143">
        <v>43513</v>
      </c>
      <c r="H7" s="143">
        <v>43513</v>
      </c>
      <c r="I7" s="142">
        <f t="shared" si="0"/>
        <v>43513</v>
      </c>
      <c r="J7" s="141">
        <v>43497</v>
      </c>
      <c r="K7" s="140">
        <v>180</v>
      </c>
      <c r="L7" s="139">
        <f t="shared" si="1"/>
        <v>1</v>
      </c>
      <c r="M7" s="138">
        <f>SUM(I7+K7)</f>
        <v>43693</v>
      </c>
      <c r="N7" s="47" t="s">
        <v>99</v>
      </c>
      <c r="O7" s="136" t="s">
        <v>98</v>
      </c>
      <c r="P7" s="130">
        <v>84</v>
      </c>
      <c r="Q7" s="129">
        <v>43556</v>
      </c>
      <c r="R7" s="135">
        <v>20987</v>
      </c>
      <c r="S7" s="134">
        <v>43557</v>
      </c>
      <c r="T7" s="133">
        <v>1</v>
      </c>
      <c r="U7" s="149" t="s">
        <v>38</v>
      </c>
      <c r="V7" s="131" t="s">
        <v>97</v>
      </c>
      <c r="W7" s="131" t="s">
        <v>97</v>
      </c>
      <c r="X7" s="131"/>
      <c r="Y7" s="149">
        <v>825</v>
      </c>
      <c r="Z7" s="126">
        <v>43549</v>
      </c>
      <c r="AA7" s="128">
        <v>60</v>
      </c>
      <c r="AB7" s="129">
        <v>43552</v>
      </c>
      <c r="AC7" s="128">
        <v>12</v>
      </c>
      <c r="AD7" s="128" t="s">
        <v>96</v>
      </c>
      <c r="AE7" s="127" t="s">
        <v>30</v>
      </c>
      <c r="AF7" s="127" t="s">
        <v>30</v>
      </c>
    </row>
    <row r="8" spans="1:32" ht="15.75" customHeight="1">
      <c r="A8" s="147">
        <v>5</v>
      </c>
      <c r="B8" s="147">
        <v>2019</v>
      </c>
      <c r="C8" s="146" t="s">
        <v>161</v>
      </c>
      <c r="D8" s="158" t="s">
        <v>131</v>
      </c>
      <c r="E8" s="158" t="s">
        <v>130</v>
      </c>
      <c r="F8" s="144">
        <v>9</v>
      </c>
      <c r="G8" s="143">
        <v>43514</v>
      </c>
      <c r="H8" s="143">
        <v>43514</v>
      </c>
      <c r="I8" s="142">
        <f t="shared" si="0"/>
        <v>43514</v>
      </c>
      <c r="J8" s="141">
        <v>43497</v>
      </c>
      <c r="K8" s="140">
        <v>180</v>
      </c>
      <c r="L8" s="139">
        <f t="shared" si="1"/>
        <v>2</v>
      </c>
      <c r="M8" s="138">
        <f>I8</f>
        <v>43514</v>
      </c>
      <c r="N8" s="47" t="s">
        <v>99</v>
      </c>
      <c r="O8" s="136" t="s">
        <v>111</v>
      </c>
      <c r="P8" s="130"/>
      <c r="Q8" s="129"/>
      <c r="R8" s="135"/>
      <c r="S8" s="134"/>
      <c r="T8" s="133"/>
      <c r="U8" s="132" t="s">
        <v>37</v>
      </c>
      <c r="V8" s="131"/>
      <c r="W8" s="131"/>
      <c r="X8" s="131"/>
      <c r="Y8" s="149"/>
      <c r="Z8" s="126"/>
      <c r="AA8" s="128"/>
      <c r="AB8" s="129"/>
      <c r="AC8" s="128"/>
      <c r="AD8" s="128"/>
      <c r="AE8" s="127" t="s">
        <v>34</v>
      </c>
      <c r="AF8" s="127" t="s">
        <v>110</v>
      </c>
    </row>
    <row r="9" spans="1:32" ht="15.75" customHeight="1">
      <c r="A9" s="147">
        <v>6</v>
      </c>
      <c r="B9" s="147">
        <v>2019</v>
      </c>
      <c r="C9" s="146" t="s">
        <v>160</v>
      </c>
      <c r="D9" s="145" t="s">
        <v>152</v>
      </c>
      <c r="E9" s="145" t="s">
        <v>146</v>
      </c>
      <c r="F9" s="144">
        <v>1289</v>
      </c>
      <c r="G9" s="143">
        <v>43513</v>
      </c>
      <c r="H9" s="143">
        <v>43513</v>
      </c>
      <c r="I9" s="142">
        <f t="shared" si="0"/>
        <v>43513</v>
      </c>
      <c r="J9" s="141">
        <v>43497</v>
      </c>
      <c r="K9" s="140">
        <v>180</v>
      </c>
      <c r="L9" s="139">
        <f t="shared" si="1"/>
        <v>1</v>
      </c>
      <c r="M9" s="138">
        <f t="shared" ref="M9:M22" si="2">SUM(I9+K9)</f>
        <v>43693</v>
      </c>
      <c r="N9" s="47" t="s">
        <v>73</v>
      </c>
      <c r="O9" s="136" t="s">
        <v>98</v>
      </c>
      <c r="P9" s="130">
        <v>84</v>
      </c>
      <c r="Q9" s="129">
        <v>43556</v>
      </c>
      <c r="R9" s="135">
        <v>20987</v>
      </c>
      <c r="S9" s="134">
        <v>43557</v>
      </c>
      <c r="T9" s="133">
        <v>1</v>
      </c>
      <c r="U9" s="149" t="s">
        <v>38</v>
      </c>
      <c r="V9" s="131" t="s">
        <v>97</v>
      </c>
      <c r="W9" s="131" t="s">
        <v>97</v>
      </c>
      <c r="X9" s="131"/>
      <c r="Y9" s="149">
        <v>907</v>
      </c>
      <c r="Z9" s="126">
        <v>43556</v>
      </c>
      <c r="AA9" s="128">
        <v>63</v>
      </c>
      <c r="AB9" s="129">
        <v>43557</v>
      </c>
      <c r="AC9" s="128">
        <v>11</v>
      </c>
      <c r="AD9" s="128" t="s">
        <v>96</v>
      </c>
      <c r="AE9" s="127" t="s">
        <v>30</v>
      </c>
      <c r="AF9" s="127" t="s">
        <v>30</v>
      </c>
    </row>
    <row r="10" spans="1:32" ht="15.75" customHeight="1">
      <c r="A10" s="147">
        <v>7</v>
      </c>
      <c r="B10" s="147">
        <v>2019</v>
      </c>
      <c r="C10" s="146" t="s">
        <v>159</v>
      </c>
      <c r="D10" s="157" t="s">
        <v>120</v>
      </c>
      <c r="E10" s="145" t="s">
        <v>122</v>
      </c>
      <c r="F10" s="144">
        <v>7</v>
      </c>
      <c r="G10" s="143">
        <v>43489</v>
      </c>
      <c r="H10" s="143">
        <v>43489</v>
      </c>
      <c r="I10" s="142">
        <f t="shared" si="0"/>
        <v>43489</v>
      </c>
      <c r="J10" s="141">
        <v>43466</v>
      </c>
      <c r="K10" s="140">
        <v>180</v>
      </c>
      <c r="L10" s="139">
        <f t="shared" si="1"/>
        <v>5</v>
      </c>
      <c r="M10" s="138">
        <f t="shared" si="2"/>
        <v>43669</v>
      </c>
      <c r="N10" s="47" t="s">
        <v>99</v>
      </c>
      <c r="O10" s="136" t="s">
        <v>98</v>
      </c>
      <c r="P10" s="130">
        <v>44</v>
      </c>
      <c r="Q10" s="129">
        <v>43525</v>
      </c>
      <c r="R10" s="135">
        <v>20968</v>
      </c>
      <c r="S10" s="134">
        <v>43530</v>
      </c>
      <c r="T10" s="133">
        <v>1</v>
      </c>
      <c r="U10" s="149" t="s">
        <v>38</v>
      </c>
      <c r="V10" s="131" t="s">
        <v>97</v>
      </c>
      <c r="W10" s="131" t="s">
        <v>97</v>
      </c>
      <c r="X10" s="131"/>
      <c r="Y10" s="149">
        <v>654</v>
      </c>
      <c r="Z10" s="126">
        <v>43531</v>
      </c>
      <c r="AA10" s="128">
        <v>47</v>
      </c>
      <c r="AB10" s="129">
        <v>43535</v>
      </c>
      <c r="AC10" s="128">
        <v>10</v>
      </c>
      <c r="AD10" s="128" t="s">
        <v>96</v>
      </c>
      <c r="AE10" s="127" t="s">
        <v>30</v>
      </c>
      <c r="AF10" s="127" t="s">
        <v>30</v>
      </c>
    </row>
    <row r="11" spans="1:32" ht="15.75" customHeight="1">
      <c r="A11" s="147">
        <v>8</v>
      </c>
      <c r="B11" s="147">
        <v>2019</v>
      </c>
      <c r="C11" s="146" t="s">
        <v>158</v>
      </c>
      <c r="D11" s="145" t="s">
        <v>158</v>
      </c>
      <c r="E11" s="145" t="s">
        <v>139</v>
      </c>
      <c r="F11" s="144">
        <v>12075</v>
      </c>
      <c r="G11" s="143">
        <v>43482</v>
      </c>
      <c r="H11" s="143">
        <v>43486</v>
      </c>
      <c r="I11" s="142">
        <f t="shared" si="0"/>
        <v>43482</v>
      </c>
      <c r="J11" s="141">
        <v>43466</v>
      </c>
      <c r="K11" s="140">
        <v>180</v>
      </c>
      <c r="L11" s="139">
        <f t="shared" si="1"/>
        <v>2</v>
      </c>
      <c r="M11" s="138">
        <f t="shared" si="2"/>
        <v>43662</v>
      </c>
      <c r="N11" s="47" t="s">
        <v>99</v>
      </c>
      <c r="O11" s="136" t="s">
        <v>98</v>
      </c>
      <c r="P11" s="130">
        <v>34</v>
      </c>
      <c r="Q11" s="129">
        <v>43515</v>
      </c>
      <c r="R11" s="135">
        <v>20960</v>
      </c>
      <c r="S11" s="134">
        <v>43516</v>
      </c>
      <c r="T11" s="133">
        <v>2</v>
      </c>
      <c r="U11" s="149" t="s">
        <v>38</v>
      </c>
      <c r="V11" s="131" t="s">
        <v>97</v>
      </c>
      <c r="W11" s="131"/>
      <c r="X11" s="131"/>
      <c r="Y11" s="149">
        <v>654</v>
      </c>
      <c r="Z11" s="126">
        <v>43531</v>
      </c>
      <c r="AA11" s="128">
        <v>47</v>
      </c>
      <c r="AB11" s="129">
        <v>43535</v>
      </c>
      <c r="AC11" s="128">
        <v>10</v>
      </c>
      <c r="AD11" s="128" t="s">
        <v>96</v>
      </c>
      <c r="AE11" s="127" t="s">
        <v>30</v>
      </c>
      <c r="AF11" s="127" t="s">
        <v>30</v>
      </c>
    </row>
    <row r="12" spans="1:32" ht="15.75" customHeight="1">
      <c r="A12" s="147">
        <v>9</v>
      </c>
      <c r="B12" s="147">
        <v>2018</v>
      </c>
      <c r="C12" s="146" t="s">
        <v>157</v>
      </c>
      <c r="D12" s="145" t="s">
        <v>105</v>
      </c>
      <c r="E12" s="145" t="s">
        <v>104</v>
      </c>
      <c r="F12" s="144">
        <v>119</v>
      </c>
      <c r="G12" s="143">
        <v>43409</v>
      </c>
      <c r="H12" s="143">
        <v>43407</v>
      </c>
      <c r="I12" s="142">
        <f t="shared" si="0"/>
        <v>43409</v>
      </c>
      <c r="J12" s="141">
        <v>43405</v>
      </c>
      <c r="K12" s="140">
        <v>180</v>
      </c>
      <c r="L12" s="139">
        <f t="shared" si="1"/>
        <v>7</v>
      </c>
      <c r="M12" s="138">
        <f t="shared" si="2"/>
        <v>43589</v>
      </c>
      <c r="N12" s="47" t="s">
        <v>99</v>
      </c>
      <c r="O12" s="136" t="s">
        <v>98</v>
      </c>
      <c r="P12" s="130">
        <v>1825</v>
      </c>
      <c r="Q12" s="129">
        <v>43440</v>
      </c>
      <c r="R12" s="135">
        <v>20911</v>
      </c>
      <c r="S12" s="134">
        <v>43441</v>
      </c>
      <c r="T12" s="133">
        <v>1</v>
      </c>
      <c r="U12" s="149" t="s">
        <v>38</v>
      </c>
      <c r="V12" s="131" t="s">
        <v>97</v>
      </c>
      <c r="W12" s="131" t="s">
        <v>97</v>
      </c>
      <c r="X12" s="131"/>
      <c r="Y12" s="149">
        <v>356</v>
      </c>
      <c r="Z12" s="126">
        <v>43417</v>
      </c>
      <c r="AA12" s="128">
        <v>240</v>
      </c>
      <c r="AB12" s="129">
        <v>43418</v>
      </c>
      <c r="AC12" s="128">
        <v>43</v>
      </c>
      <c r="AD12" s="128" t="s">
        <v>96</v>
      </c>
      <c r="AE12" s="127" t="s">
        <v>30</v>
      </c>
      <c r="AF12" s="127" t="s">
        <v>30</v>
      </c>
    </row>
    <row r="13" spans="1:32" ht="15.75" customHeight="1">
      <c r="A13" s="147">
        <v>10</v>
      </c>
      <c r="B13" s="147">
        <v>2018</v>
      </c>
      <c r="C13" s="146" t="s">
        <v>156</v>
      </c>
      <c r="D13" s="145" t="s">
        <v>116</v>
      </c>
      <c r="E13" s="145" t="s">
        <v>144</v>
      </c>
      <c r="F13" s="144">
        <v>110</v>
      </c>
      <c r="G13" s="143">
        <v>43384</v>
      </c>
      <c r="H13" s="143">
        <v>43382</v>
      </c>
      <c r="I13" s="142">
        <f t="shared" si="0"/>
        <v>43384</v>
      </c>
      <c r="J13" s="141">
        <v>43374</v>
      </c>
      <c r="K13" s="140">
        <v>180</v>
      </c>
      <c r="L13" s="139">
        <f t="shared" si="1"/>
        <v>3</v>
      </c>
      <c r="M13" s="138">
        <f t="shared" si="2"/>
        <v>43564</v>
      </c>
      <c r="N13" s="47" t="s">
        <v>66</v>
      </c>
      <c r="O13" s="136" t="s">
        <v>98</v>
      </c>
      <c r="P13" s="148">
        <v>1803</v>
      </c>
      <c r="Q13" s="129">
        <v>43426</v>
      </c>
      <c r="R13" s="135">
        <v>20901</v>
      </c>
      <c r="S13" s="134">
        <v>43427</v>
      </c>
      <c r="T13" s="133">
        <v>2</v>
      </c>
      <c r="U13" s="149" t="s">
        <v>38</v>
      </c>
      <c r="V13" s="131" t="s">
        <v>97</v>
      </c>
      <c r="W13" s="131" t="s">
        <v>97</v>
      </c>
      <c r="X13" s="131"/>
      <c r="Y13" s="130">
        <v>328</v>
      </c>
      <c r="Z13" s="129">
        <v>43425</v>
      </c>
      <c r="AA13" s="128">
        <v>224</v>
      </c>
      <c r="AB13" s="129">
        <v>43426</v>
      </c>
      <c r="AC13" s="128">
        <v>48</v>
      </c>
      <c r="AD13" s="128" t="s">
        <v>96</v>
      </c>
      <c r="AE13" s="127" t="s">
        <v>30</v>
      </c>
      <c r="AF13" s="127" t="s">
        <v>30</v>
      </c>
    </row>
    <row r="14" spans="1:32" ht="15.75" customHeight="1">
      <c r="A14" s="147">
        <v>11</v>
      </c>
      <c r="B14" s="147">
        <v>2019</v>
      </c>
      <c r="C14" s="146" t="s">
        <v>155</v>
      </c>
      <c r="D14" s="145" t="s">
        <v>108</v>
      </c>
      <c r="E14" s="145" t="s">
        <v>107</v>
      </c>
      <c r="F14" s="144">
        <v>29</v>
      </c>
      <c r="G14" s="143">
        <v>43500</v>
      </c>
      <c r="H14" s="143">
        <v>43497</v>
      </c>
      <c r="I14" s="142">
        <f t="shared" si="0"/>
        <v>43500</v>
      </c>
      <c r="J14" s="141">
        <v>43497</v>
      </c>
      <c r="K14" s="140">
        <v>180</v>
      </c>
      <c r="L14" s="139">
        <f t="shared" si="1"/>
        <v>6</v>
      </c>
      <c r="M14" s="138">
        <f t="shared" si="2"/>
        <v>43680</v>
      </c>
      <c r="N14" s="47" t="s">
        <v>73</v>
      </c>
      <c r="O14" s="136" t="s">
        <v>98</v>
      </c>
      <c r="P14" s="130">
        <v>84</v>
      </c>
      <c r="Q14" s="129">
        <v>43556</v>
      </c>
      <c r="R14" s="135">
        <v>20987</v>
      </c>
      <c r="S14" s="134">
        <v>43557</v>
      </c>
      <c r="T14" s="133">
        <v>1</v>
      </c>
      <c r="U14" s="132" t="s">
        <v>37</v>
      </c>
      <c r="V14" s="131"/>
      <c r="W14" s="131"/>
      <c r="X14" s="131"/>
      <c r="Y14" s="130">
        <v>744</v>
      </c>
      <c r="Z14" s="129">
        <v>43539</v>
      </c>
      <c r="AA14" s="128">
        <v>53</v>
      </c>
      <c r="AB14" s="129">
        <v>43543</v>
      </c>
      <c r="AC14" s="128">
        <v>8</v>
      </c>
      <c r="AD14" s="128" t="s">
        <v>96</v>
      </c>
      <c r="AE14" s="127" t="s">
        <v>30</v>
      </c>
      <c r="AF14" s="127" t="s">
        <v>30</v>
      </c>
    </row>
    <row r="15" spans="1:32" ht="15.75" customHeight="1">
      <c r="A15" s="147">
        <v>12</v>
      </c>
      <c r="B15" s="147">
        <v>2019</v>
      </c>
      <c r="C15" s="146" t="s">
        <v>154</v>
      </c>
      <c r="D15" s="145" t="s">
        <v>125</v>
      </c>
      <c r="E15" s="145" t="s">
        <v>124</v>
      </c>
      <c r="F15" s="144">
        <v>2</v>
      </c>
      <c r="G15" s="143">
        <v>43483</v>
      </c>
      <c r="H15" s="143">
        <v>43477</v>
      </c>
      <c r="I15" s="142">
        <f t="shared" si="0"/>
        <v>43483</v>
      </c>
      <c r="J15" s="141">
        <v>43466</v>
      </c>
      <c r="K15" s="140">
        <v>180</v>
      </c>
      <c r="L15" s="139">
        <f t="shared" si="1"/>
        <v>7</v>
      </c>
      <c r="M15" s="138">
        <f t="shared" si="2"/>
        <v>43663</v>
      </c>
      <c r="N15" s="47" t="s">
        <v>66</v>
      </c>
      <c r="O15" s="136" t="s">
        <v>98</v>
      </c>
      <c r="P15" s="130">
        <v>34</v>
      </c>
      <c r="Q15" s="129">
        <v>43515</v>
      </c>
      <c r="R15" s="135">
        <v>20960</v>
      </c>
      <c r="S15" s="134">
        <v>43516</v>
      </c>
      <c r="T15" s="133">
        <v>2</v>
      </c>
      <c r="U15" s="149" t="s">
        <v>38</v>
      </c>
      <c r="V15" s="131" t="s">
        <v>97</v>
      </c>
      <c r="W15" s="131" t="s">
        <v>97</v>
      </c>
      <c r="X15" s="131"/>
      <c r="Y15" s="149">
        <v>654</v>
      </c>
      <c r="Z15" s="126">
        <v>43531</v>
      </c>
      <c r="AA15" s="128">
        <v>47</v>
      </c>
      <c r="AB15" s="129">
        <v>43535</v>
      </c>
      <c r="AC15" s="128">
        <v>10</v>
      </c>
      <c r="AD15" s="128" t="s">
        <v>96</v>
      </c>
      <c r="AE15" s="127" t="s">
        <v>30</v>
      </c>
      <c r="AF15" s="127" t="s">
        <v>30</v>
      </c>
    </row>
    <row r="16" spans="1:32" ht="15.75" customHeight="1">
      <c r="A16" s="147">
        <v>13</v>
      </c>
      <c r="B16" s="147">
        <v>2019</v>
      </c>
      <c r="C16" s="146" t="s">
        <v>153</v>
      </c>
      <c r="D16" s="145" t="s">
        <v>152</v>
      </c>
      <c r="E16" s="145" t="s">
        <v>151</v>
      </c>
      <c r="F16" s="144" t="s">
        <v>150</v>
      </c>
      <c r="G16" s="143">
        <v>43514</v>
      </c>
      <c r="H16" s="143">
        <v>43514</v>
      </c>
      <c r="I16" s="142">
        <f t="shared" si="0"/>
        <v>43514</v>
      </c>
      <c r="J16" s="141">
        <v>43497</v>
      </c>
      <c r="K16" s="140">
        <v>180</v>
      </c>
      <c r="L16" s="139">
        <f t="shared" si="1"/>
        <v>2</v>
      </c>
      <c r="M16" s="138">
        <f t="shared" si="2"/>
        <v>43694</v>
      </c>
      <c r="N16" s="47" t="s">
        <v>99</v>
      </c>
      <c r="O16" s="136" t="s">
        <v>98</v>
      </c>
      <c r="P16" s="130">
        <v>87</v>
      </c>
      <c r="Q16" s="129">
        <v>43565</v>
      </c>
      <c r="R16" s="135">
        <v>20994</v>
      </c>
      <c r="S16" s="134">
        <v>43566</v>
      </c>
      <c r="T16" s="133">
        <v>1</v>
      </c>
      <c r="U16" s="149" t="s">
        <v>38</v>
      </c>
      <c r="V16" s="131" t="s">
        <v>97</v>
      </c>
      <c r="W16" s="131" t="s">
        <v>97</v>
      </c>
      <c r="X16" s="131"/>
      <c r="Y16" s="149"/>
      <c r="Z16" s="126"/>
      <c r="AA16" s="128"/>
      <c r="AB16" s="129"/>
      <c r="AC16" s="128"/>
      <c r="AD16" s="128"/>
      <c r="AE16" s="127" t="s">
        <v>32</v>
      </c>
      <c r="AF16" s="127" t="s">
        <v>32</v>
      </c>
    </row>
    <row r="17" spans="1:32" ht="15.75" customHeight="1">
      <c r="A17" s="147">
        <v>14</v>
      </c>
      <c r="B17" s="147">
        <v>2018</v>
      </c>
      <c r="C17" s="153" t="s">
        <v>149</v>
      </c>
      <c r="D17" s="145" t="s">
        <v>147</v>
      </c>
      <c r="E17" s="145" t="s">
        <v>146</v>
      </c>
      <c r="F17" s="144">
        <v>3779</v>
      </c>
      <c r="G17" s="156">
        <v>43367</v>
      </c>
      <c r="H17" s="156">
        <v>43362</v>
      </c>
      <c r="I17" s="142">
        <f t="shared" si="0"/>
        <v>43367</v>
      </c>
      <c r="J17" s="141">
        <v>43344</v>
      </c>
      <c r="K17" s="140">
        <v>180</v>
      </c>
      <c r="L17" s="139">
        <f t="shared" si="1"/>
        <v>4</v>
      </c>
      <c r="M17" s="138">
        <f t="shared" si="2"/>
        <v>43547</v>
      </c>
      <c r="N17" s="47" t="s">
        <v>148</v>
      </c>
      <c r="O17" s="136" t="s">
        <v>98</v>
      </c>
      <c r="P17" s="135">
        <v>1751</v>
      </c>
      <c r="Q17" s="129">
        <v>43377</v>
      </c>
      <c r="R17" s="135">
        <v>20870</v>
      </c>
      <c r="S17" s="134">
        <v>43378</v>
      </c>
      <c r="T17" s="133">
        <v>1</v>
      </c>
      <c r="U17" s="149" t="s">
        <v>38</v>
      </c>
      <c r="V17" s="131" t="s">
        <v>97</v>
      </c>
      <c r="W17" s="131" t="s">
        <v>97</v>
      </c>
      <c r="X17" s="131"/>
      <c r="Y17" s="130">
        <v>296</v>
      </c>
      <c r="Z17" s="129">
        <v>43391</v>
      </c>
      <c r="AA17" s="128">
        <v>202</v>
      </c>
      <c r="AB17" s="129">
        <v>43392</v>
      </c>
      <c r="AC17" s="128">
        <v>59</v>
      </c>
      <c r="AD17" s="128" t="s">
        <v>96</v>
      </c>
      <c r="AE17" s="127" t="s">
        <v>30</v>
      </c>
      <c r="AF17" s="127" t="s">
        <v>30</v>
      </c>
    </row>
    <row r="18" spans="1:32" ht="15.75" customHeight="1">
      <c r="A18" s="147">
        <v>15</v>
      </c>
      <c r="B18" s="147">
        <v>2019</v>
      </c>
      <c r="C18" s="153" t="s">
        <v>147</v>
      </c>
      <c r="D18" s="158" t="s">
        <v>147</v>
      </c>
      <c r="E18" s="158" t="s">
        <v>146</v>
      </c>
      <c r="F18" s="144">
        <v>33826</v>
      </c>
      <c r="G18" s="156">
        <v>43551</v>
      </c>
      <c r="H18" s="156">
        <v>43539</v>
      </c>
      <c r="I18" s="142">
        <f t="shared" si="0"/>
        <v>43551</v>
      </c>
      <c r="J18" s="141">
        <v>43525</v>
      </c>
      <c r="K18" s="140">
        <v>180</v>
      </c>
      <c r="L18" s="139">
        <f t="shared" si="1"/>
        <v>6</v>
      </c>
      <c r="M18" s="138">
        <f t="shared" si="2"/>
        <v>43731</v>
      </c>
      <c r="N18" s="47" t="s">
        <v>99</v>
      </c>
      <c r="O18" s="136" t="s">
        <v>98</v>
      </c>
      <c r="P18" s="135">
        <v>106</v>
      </c>
      <c r="Q18" s="129">
        <v>43580</v>
      </c>
      <c r="R18" s="135">
        <v>21002</v>
      </c>
      <c r="S18" s="134">
        <v>43580</v>
      </c>
      <c r="T18" s="133">
        <v>1</v>
      </c>
      <c r="U18" s="149" t="s">
        <v>38</v>
      </c>
      <c r="V18" s="131" t="s">
        <v>97</v>
      </c>
      <c r="W18" s="131" t="s">
        <v>97</v>
      </c>
      <c r="X18" s="131"/>
      <c r="Y18" s="130"/>
      <c r="Z18" s="129"/>
      <c r="AA18" s="128"/>
      <c r="AB18" s="129"/>
      <c r="AC18" s="128"/>
      <c r="AD18" s="128"/>
      <c r="AE18" s="127" t="s">
        <v>32</v>
      </c>
      <c r="AF18" s="127" t="s">
        <v>32</v>
      </c>
    </row>
    <row r="19" spans="1:32" ht="15.75" customHeight="1">
      <c r="A19" s="147">
        <v>16</v>
      </c>
      <c r="B19" s="147">
        <v>2018</v>
      </c>
      <c r="C19" s="153" t="s">
        <v>145</v>
      </c>
      <c r="D19" s="145" t="s">
        <v>116</v>
      </c>
      <c r="E19" s="145" t="s">
        <v>144</v>
      </c>
      <c r="F19" s="140">
        <v>46</v>
      </c>
      <c r="G19" s="156">
        <v>43383</v>
      </c>
      <c r="H19" s="156">
        <v>43382</v>
      </c>
      <c r="I19" s="142">
        <f t="shared" si="0"/>
        <v>43383</v>
      </c>
      <c r="J19" s="141">
        <v>43374</v>
      </c>
      <c r="K19" s="140">
        <v>180</v>
      </c>
      <c r="L19" s="139">
        <f t="shared" si="1"/>
        <v>3</v>
      </c>
      <c r="M19" s="138">
        <f t="shared" si="2"/>
        <v>43563</v>
      </c>
      <c r="N19" s="47" t="s">
        <v>66</v>
      </c>
      <c r="O19" s="136" t="s">
        <v>98</v>
      </c>
      <c r="P19" s="135">
        <v>1786</v>
      </c>
      <c r="Q19" s="129">
        <v>43409</v>
      </c>
      <c r="R19" s="135">
        <v>20890</v>
      </c>
      <c r="S19" s="134">
        <v>43410</v>
      </c>
      <c r="T19" s="133">
        <v>1</v>
      </c>
      <c r="U19" s="149" t="s">
        <v>38</v>
      </c>
      <c r="V19" s="131" t="s">
        <v>97</v>
      </c>
      <c r="W19" s="131" t="s">
        <v>97</v>
      </c>
      <c r="X19" s="131"/>
      <c r="Y19" s="130">
        <v>328</v>
      </c>
      <c r="Z19" s="129">
        <v>43425</v>
      </c>
      <c r="AA19" s="128">
        <v>224</v>
      </c>
      <c r="AB19" s="129">
        <v>43426</v>
      </c>
      <c r="AC19" s="128">
        <v>48</v>
      </c>
      <c r="AD19" s="128" t="s">
        <v>96</v>
      </c>
      <c r="AE19" s="127" t="s">
        <v>30</v>
      </c>
      <c r="AF19" s="127" t="s">
        <v>30</v>
      </c>
    </row>
    <row r="20" spans="1:32" ht="15.75" customHeight="1">
      <c r="A20" s="147">
        <v>17</v>
      </c>
      <c r="B20" s="147">
        <v>2019</v>
      </c>
      <c r="C20" s="153" t="s">
        <v>143</v>
      </c>
      <c r="D20" s="158" t="s">
        <v>142</v>
      </c>
      <c r="E20" s="158" t="s">
        <v>141</v>
      </c>
      <c r="F20" s="140">
        <v>3157</v>
      </c>
      <c r="G20" s="156">
        <v>43537</v>
      </c>
      <c r="H20" s="156">
        <v>43536</v>
      </c>
      <c r="I20" s="142">
        <f t="shared" si="0"/>
        <v>43537</v>
      </c>
      <c r="J20" s="141">
        <v>43525</v>
      </c>
      <c r="K20" s="140">
        <v>180</v>
      </c>
      <c r="L20" s="139">
        <f t="shared" si="1"/>
        <v>3</v>
      </c>
      <c r="M20" s="138">
        <f t="shared" si="2"/>
        <v>43717</v>
      </c>
      <c r="N20" s="47" t="s">
        <v>99</v>
      </c>
      <c r="O20" s="136" t="s">
        <v>98</v>
      </c>
      <c r="P20" s="130">
        <v>87</v>
      </c>
      <c r="Q20" s="129">
        <v>43565</v>
      </c>
      <c r="R20" s="135">
        <v>20994</v>
      </c>
      <c r="S20" s="134">
        <v>43566</v>
      </c>
      <c r="T20" s="133">
        <v>1</v>
      </c>
      <c r="U20" s="149" t="s">
        <v>38</v>
      </c>
      <c r="V20" s="131" t="s">
        <v>97</v>
      </c>
      <c r="W20" s="131" t="s">
        <v>97</v>
      </c>
      <c r="X20" s="131"/>
      <c r="Y20" s="130">
        <v>1067</v>
      </c>
      <c r="Z20" s="129">
        <v>43577</v>
      </c>
      <c r="AA20" s="128">
        <v>77</v>
      </c>
      <c r="AB20" s="129">
        <v>43578</v>
      </c>
      <c r="AC20" s="128">
        <v>102</v>
      </c>
      <c r="AD20" s="128" t="s">
        <v>96</v>
      </c>
      <c r="AE20" s="127" t="s">
        <v>30</v>
      </c>
      <c r="AF20" s="127" t="s">
        <v>30</v>
      </c>
    </row>
    <row r="21" spans="1:32" ht="15.75" customHeight="1">
      <c r="A21" s="147">
        <v>18</v>
      </c>
      <c r="B21" s="147">
        <v>2019</v>
      </c>
      <c r="C21" s="153" t="s">
        <v>140</v>
      </c>
      <c r="D21" s="145" t="s">
        <v>131</v>
      </c>
      <c r="E21" s="145" t="s">
        <v>139</v>
      </c>
      <c r="F21" s="140">
        <v>26</v>
      </c>
      <c r="G21" s="156">
        <v>43514</v>
      </c>
      <c r="H21" s="152">
        <v>43513</v>
      </c>
      <c r="I21" s="142">
        <f t="shared" si="0"/>
        <v>43514</v>
      </c>
      <c r="J21" s="141">
        <v>43497</v>
      </c>
      <c r="K21" s="140">
        <v>180</v>
      </c>
      <c r="L21" s="139">
        <f t="shared" si="1"/>
        <v>1</v>
      </c>
      <c r="M21" s="138">
        <f t="shared" si="2"/>
        <v>43694</v>
      </c>
      <c r="N21" s="47" t="s">
        <v>99</v>
      </c>
      <c r="O21" s="136" t="s">
        <v>111</v>
      </c>
      <c r="P21" s="135"/>
      <c r="Q21" s="129"/>
      <c r="R21" s="135"/>
      <c r="S21" s="134"/>
      <c r="T21" s="133"/>
      <c r="U21" s="149" t="s">
        <v>38</v>
      </c>
      <c r="V21" s="131" t="s">
        <v>97</v>
      </c>
      <c r="W21" s="131" t="s">
        <v>97</v>
      </c>
      <c r="X21" s="131"/>
      <c r="Y21" s="130"/>
      <c r="Z21" s="129"/>
      <c r="AA21" s="128"/>
      <c r="AB21" s="129"/>
      <c r="AC21" s="128"/>
      <c r="AD21" s="128"/>
      <c r="AE21" s="127" t="s">
        <v>34</v>
      </c>
      <c r="AF21" s="127" t="s">
        <v>110</v>
      </c>
    </row>
    <row r="22" spans="1:32" ht="15.75" customHeight="1">
      <c r="A22" s="147">
        <v>19</v>
      </c>
      <c r="B22" s="147">
        <v>2018</v>
      </c>
      <c r="C22" s="153" t="s">
        <v>138</v>
      </c>
      <c r="D22" s="145" t="s">
        <v>105</v>
      </c>
      <c r="E22" s="145" t="s">
        <v>104</v>
      </c>
      <c r="F22" s="144">
        <v>100</v>
      </c>
      <c r="G22" s="156">
        <v>43377</v>
      </c>
      <c r="H22" s="156">
        <v>43375</v>
      </c>
      <c r="I22" s="142">
        <f t="shared" si="0"/>
        <v>43377</v>
      </c>
      <c r="J22" s="141">
        <v>43374</v>
      </c>
      <c r="K22" s="140">
        <v>180</v>
      </c>
      <c r="L22" s="139">
        <f t="shared" si="1"/>
        <v>3</v>
      </c>
      <c r="M22" s="138">
        <f t="shared" si="2"/>
        <v>43557</v>
      </c>
      <c r="N22" s="47" t="s">
        <v>66</v>
      </c>
      <c r="O22" s="150" t="s">
        <v>121</v>
      </c>
      <c r="P22" s="148">
        <v>1775</v>
      </c>
      <c r="Q22" s="129">
        <v>43398</v>
      </c>
      <c r="R22" s="135">
        <v>20884</v>
      </c>
      <c r="S22" s="134">
        <v>43399</v>
      </c>
      <c r="T22" s="133">
        <v>2</v>
      </c>
      <c r="U22" s="149" t="s">
        <v>38</v>
      </c>
      <c r="V22" s="131" t="s">
        <v>97</v>
      </c>
      <c r="W22" s="131" t="s">
        <v>135</v>
      </c>
      <c r="X22" s="131"/>
      <c r="Y22" s="130">
        <v>310</v>
      </c>
      <c r="Z22" s="129">
        <v>43405</v>
      </c>
      <c r="AA22" s="128">
        <v>213</v>
      </c>
      <c r="AB22" s="129">
        <v>43410</v>
      </c>
      <c r="AC22" s="128">
        <v>30</v>
      </c>
      <c r="AD22" s="128" t="s">
        <v>96</v>
      </c>
      <c r="AE22" s="127" t="s">
        <v>30</v>
      </c>
      <c r="AF22" s="127" t="s">
        <v>30</v>
      </c>
    </row>
    <row r="23" spans="1:32" ht="15.75" customHeight="1">
      <c r="A23" s="147">
        <v>20</v>
      </c>
      <c r="B23" s="147">
        <v>2019</v>
      </c>
      <c r="C23" s="153" t="s">
        <v>137</v>
      </c>
      <c r="D23" s="158" t="s">
        <v>131</v>
      </c>
      <c r="E23" s="158" t="s">
        <v>130</v>
      </c>
      <c r="F23" s="144">
        <v>30</v>
      </c>
      <c r="G23" s="156">
        <v>43515</v>
      </c>
      <c r="H23" s="156">
        <v>43514</v>
      </c>
      <c r="I23" s="142">
        <f t="shared" si="0"/>
        <v>43515</v>
      </c>
      <c r="J23" s="141">
        <v>43497</v>
      </c>
      <c r="K23" s="140">
        <v>180</v>
      </c>
      <c r="L23" s="139">
        <f t="shared" si="1"/>
        <v>2</v>
      </c>
      <c r="M23" s="138">
        <f>I23</f>
        <v>43515</v>
      </c>
      <c r="N23" s="47" t="s">
        <v>99</v>
      </c>
      <c r="O23" s="150" t="s">
        <v>111</v>
      </c>
      <c r="P23" s="148"/>
      <c r="Q23" s="129"/>
      <c r="R23" s="135"/>
      <c r="S23" s="134"/>
      <c r="T23" s="133"/>
      <c r="U23" s="149" t="s">
        <v>38</v>
      </c>
      <c r="V23" s="131" t="s">
        <v>97</v>
      </c>
      <c r="W23" s="131" t="s">
        <v>135</v>
      </c>
      <c r="X23" s="131"/>
      <c r="Y23" s="130"/>
      <c r="Z23" s="129"/>
      <c r="AA23" s="128"/>
      <c r="AB23" s="129"/>
      <c r="AC23" s="128"/>
      <c r="AD23" s="128"/>
      <c r="AE23" s="127" t="s">
        <v>34</v>
      </c>
      <c r="AF23" s="127" t="s">
        <v>110</v>
      </c>
    </row>
    <row r="24" spans="1:32" ht="15.75" customHeight="1">
      <c r="A24" s="147">
        <v>21</v>
      </c>
      <c r="B24" s="147">
        <v>2019</v>
      </c>
      <c r="C24" s="153" t="s">
        <v>136</v>
      </c>
      <c r="D24" s="145" t="s">
        <v>108</v>
      </c>
      <c r="E24" s="145" t="s">
        <v>107</v>
      </c>
      <c r="F24" s="144">
        <v>28</v>
      </c>
      <c r="G24" s="156">
        <v>43483</v>
      </c>
      <c r="H24" s="156">
        <v>43482</v>
      </c>
      <c r="I24" s="142">
        <f t="shared" si="0"/>
        <v>43483</v>
      </c>
      <c r="J24" s="141">
        <v>43466</v>
      </c>
      <c r="K24" s="140">
        <v>180</v>
      </c>
      <c r="L24" s="139">
        <f t="shared" si="1"/>
        <v>5</v>
      </c>
      <c r="M24" s="138">
        <f t="shared" ref="M24:M34" si="3">SUM(I24+K24)</f>
        <v>43663</v>
      </c>
      <c r="N24" s="47" t="s">
        <v>73</v>
      </c>
      <c r="O24" s="150" t="s">
        <v>98</v>
      </c>
      <c r="P24" s="130">
        <v>34</v>
      </c>
      <c r="Q24" s="129">
        <v>43515</v>
      </c>
      <c r="R24" s="135">
        <v>20960</v>
      </c>
      <c r="S24" s="134">
        <v>43516</v>
      </c>
      <c r="T24" s="133">
        <v>2</v>
      </c>
      <c r="U24" s="149" t="s">
        <v>38</v>
      </c>
      <c r="V24" s="131" t="s">
        <v>97</v>
      </c>
      <c r="W24" s="131" t="s">
        <v>135</v>
      </c>
      <c r="X24" s="131"/>
      <c r="Y24" s="149">
        <v>654</v>
      </c>
      <c r="Z24" s="126">
        <v>43531</v>
      </c>
      <c r="AA24" s="128">
        <v>47</v>
      </c>
      <c r="AB24" s="129">
        <v>43535</v>
      </c>
      <c r="AC24" s="128">
        <v>10</v>
      </c>
      <c r="AD24" s="128" t="s">
        <v>96</v>
      </c>
      <c r="AE24" s="127" t="s">
        <v>30</v>
      </c>
      <c r="AF24" s="127" t="s">
        <v>30</v>
      </c>
    </row>
    <row r="25" spans="1:32" ht="15.75" customHeight="1">
      <c r="A25" s="147">
        <v>22</v>
      </c>
      <c r="B25" s="147">
        <v>2018</v>
      </c>
      <c r="C25" s="153" t="s">
        <v>134</v>
      </c>
      <c r="D25" s="157" t="s">
        <v>113</v>
      </c>
      <c r="E25" s="145" t="s">
        <v>112</v>
      </c>
      <c r="F25" s="144">
        <v>2804</v>
      </c>
      <c r="G25" s="156">
        <v>43377</v>
      </c>
      <c r="H25" s="152">
        <v>43376</v>
      </c>
      <c r="I25" s="155">
        <f t="shared" si="0"/>
        <v>43377</v>
      </c>
      <c r="J25" s="154">
        <v>43374</v>
      </c>
      <c r="K25" s="150">
        <v>180</v>
      </c>
      <c r="L25" s="139">
        <f t="shared" si="1"/>
        <v>4</v>
      </c>
      <c r="M25" s="138">
        <f t="shared" si="3"/>
        <v>43557</v>
      </c>
      <c r="N25" s="47" t="s">
        <v>62</v>
      </c>
      <c r="O25" s="150" t="s">
        <v>98</v>
      </c>
      <c r="P25" s="148">
        <v>1774</v>
      </c>
      <c r="Q25" s="129">
        <v>43398</v>
      </c>
      <c r="R25" s="135">
        <v>20884</v>
      </c>
      <c r="S25" s="134">
        <v>43399</v>
      </c>
      <c r="T25" s="133" t="s">
        <v>103</v>
      </c>
      <c r="U25" s="132" t="s">
        <v>38</v>
      </c>
      <c r="V25" s="131" t="s">
        <v>97</v>
      </c>
      <c r="W25" s="131" t="s">
        <v>97</v>
      </c>
      <c r="X25" s="131"/>
      <c r="Y25" s="130">
        <v>310</v>
      </c>
      <c r="Z25" s="129">
        <v>43405</v>
      </c>
      <c r="AA25" s="128">
        <v>213</v>
      </c>
      <c r="AB25" s="129">
        <v>43410</v>
      </c>
      <c r="AC25" s="128">
        <v>30</v>
      </c>
      <c r="AD25" s="128" t="s">
        <v>96</v>
      </c>
      <c r="AE25" s="127" t="s">
        <v>30</v>
      </c>
      <c r="AF25" s="127" t="s">
        <v>30</v>
      </c>
    </row>
    <row r="26" spans="1:32" ht="15.75" customHeight="1">
      <c r="A26" s="147">
        <v>23</v>
      </c>
      <c r="B26" s="147">
        <v>2019</v>
      </c>
      <c r="C26" s="153" t="s">
        <v>133</v>
      </c>
      <c r="D26" s="145" t="s">
        <v>105</v>
      </c>
      <c r="E26" s="145" t="s">
        <v>104</v>
      </c>
      <c r="F26" s="144">
        <v>12</v>
      </c>
      <c r="G26" s="156">
        <v>43511</v>
      </c>
      <c r="H26" s="152">
        <v>43511</v>
      </c>
      <c r="I26" s="155">
        <f t="shared" si="0"/>
        <v>43511</v>
      </c>
      <c r="J26" s="154">
        <v>43497</v>
      </c>
      <c r="K26" s="150">
        <v>180</v>
      </c>
      <c r="L26" s="139">
        <f t="shared" si="1"/>
        <v>6</v>
      </c>
      <c r="M26" s="138">
        <f t="shared" si="3"/>
        <v>43691</v>
      </c>
      <c r="N26" s="47" t="s">
        <v>73</v>
      </c>
      <c r="O26" s="150" t="s">
        <v>98</v>
      </c>
      <c r="P26" s="130">
        <v>87</v>
      </c>
      <c r="Q26" s="129">
        <v>43565</v>
      </c>
      <c r="R26" s="135">
        <v>20994</v>
      </c>
      <c r="S26" s="134">
        <v>43566</v>
      </c>
      <c r="T26" s="133">
        <v>1</v>
      </c>
      <c r="U26" s="132" t="s">
        <v>38</v>
      </c>
      <c r="V26" s="131" t="s">
        <v>97</v>
      </c>
      <c r="W26" s="131" t="s">
        <v>97</v>
      </c>
      <c r="X26" s="131"/>
      <c r="Y26" s="130"/>
      <c r="Z26" s="129"/>
      <c r="AA26" s="128"/>
      <c r="AB26" s="129"/>
      <c r="AC26" s="128"/>
      <c r="AD26" s="128"/>
      <c r="AE26" s="127" t="s">
        <v>32</v>
      </c>
      <c r="AF26" s="127" t="s">
        <v>32</v>
      </c>
    </row>
    <row r="27" spans="1:32" ht="15.75" customHeight="1">
      <c r="A27" s="147">
        <v>24</v>
      </c>
      <c r="B27" s="147">
        <v>2019</v>
      </c>
      <c r="C27" s="153" t="s">
        <v>132</v>
      </c>
      <c r="D27" s="145" t="s">
        <v>131</v>
      </c>
      <c r="E27" s="145" t="s">
        <v>130</v>
      </c>
      <c r="F27" s="144">
        <v>3365</v>
      </c>
      <c r="G27" s="156">
        <v>43483</v>
      </c>
      <c r="H27" s="152">
        <v>43484</v>
      </c>
      <c r="I27" s="155">
        <f t="shared" si="0"/>
        <v>43483</v>
      </c>
      <c r="J27" s="154">
        <v>43466</v>
      </c>
      <c r="K27" s="150">
        <v>180</v>
      </c>
      <c r="L27" s="139">
        <f t="shared" si="1"/>
        <v>7</v>
      </c>
      <c r="M27" s="138">
        <f t="shared" si="3"/>
        <v>43663</v>
      </c>
      <c r="N27" s="47" t="s">
        <v>99</v>
      </c>
      <c r="O27" s="150" t="s">
        <v>98</v>
      </c>
      <c r="P27" s="130">
        <v>34</v>
      </c>
      <c r="Q27" s="129">
        <v>43515</v>
      </c>
      <c r="R27" s="135">
        <v>20960</v>
      </c>
      <c r="S27" s="134">
        <v>43516</v>
      </c>
      <c r="T27" s="133">
        <v>2</v>
      </c>
      <c r="U27" s="132" t="s">
        <v>37</v>
      </c>
      <c r="V27" s="131"/>
      <c r="W27" s="131"/>
      <c r="X27" s="131"/>
      <c r="Y27" s="130">
        <v>598</v>
      </c>
      <c r="Z27" s="129">
        <v>43525</v>
      </c>
      <c r="AA27" s="128">
        <v>45</v>
      </c>
      <c r="AB27" s="129">
        <v>43531</v>
      </c>
      <c r="AC27" s="128">
        <v>10</v>
      </c>
      <c r="AD27" s="128" t="s">
        <v>96</v>
      </c>
      <c r="AE27" s="127" t="s">
        <v>30</v>
      </c>
      <c r="AF27" s="127" t="s">
        <v>30</v>
      </c>
    </row>
    <row r="28" spans="1:32" ht="15.75" customHeight="1">
      <c r="A28" s="147">
        <v>25</v>
      </c>
      <c r="B28" s="147">
        <v>2019</v>
      </c>
      <c r="C28" s="153" t="s">
        <v>132</v>
      </c>
      <c r="D28" s="145" t="s">
        <v>131</v>
      </c>
      <c r="E28" s="145" t="s">
        <v>130</v>
      </c>
      <c r="F28" s="144">
        <v>3373</v>
      </c>
      <c r="G28" s="156">
        <v>43513</v>
      </c>
      <c r="H28" s="152">
        <v>43513</v>
      </c>
      <c r="I28" s="155">
        <f t="shared" si="0"/>
        <v>43513</v>
      </c>
      <c r="J28" s="154">
        <v>43497</v>
      </c>
      <c r="K28" s="150">
        <v>180</v>
      </c>
      <c r="L28" s="139">
        <f t="shared" si="1"/>
        <v>1</v>
      </c>
      <c r="M28" s="138">
        <f t="shared" si="3"/>
        <v>43693</v>
      </c>
      <c r="N28" s="47" t="s">
        <v>99</v>
      </c>
      <c r="O28" s="150" t="s">
        <v>98</v>
      </c>
      <c r="P28" s="130">
        <v>87</v>
      </c>
      <c r="Q28" s="129">
        <v>43565</v>
      </c>
      <c r="R28" s="135">
        <v>20994</v>
      </c>
      <c r="S28" s="134">
        <v>43566</v>
      </c>
      <c r="T28" s="133">
        <v>1</v>
      </c>
      <c r="U28" s="132" t="s">
        <v>38</v>
      </c>
      <c r="V28" s="131" t="s">
        <v>97</v>
      </c>
      <c r="W28" s="131" t="s">
        <v>97</v>
      </c>
      <c r="X28" s="131"/>
      <c r="Y28" s="130"/>
      <c r="Z28" s="129"/>
      <c r="AA28" s="128"/>
      <c r="AB28" s="129"/>
      <c r="AC28" s="128"/>
      <c r="AD28" s="128"/>
      <c r="AE28" s="127" t="s">
        <v>32</v>
      </c>
      <c r="AF28" s="127" t="s">
        <v>32</v>
      </c>
    </row>
    <row r="29" spans="1:32" ht="15.75" customHeight="1">
      <c r="A29" s="147">
        <v>26</v>
      </c>
      <c r="B29" s="147">
        <v>2019</v>
      </c>
      <c r="C29" s="153" t="s">
        <v>129</v>
      </c>
      <c r="D29" s="145" t="s">
        <v>125</v>
      </c>
      <c r="E29" s="145" t="s">
        <v>124</v>
      </c>
      <c r="F29" s="144">
        <v>442</v>
      </c>
      <c r="G29" s="152">
        <v>43524</v>
      </c>
      <c r="H29" s="152">
        <v>43520</v>
      </c>
      <c r="I29" s="155">
        <f t="shared" si="0"/>
        <v>43524</v>
      </c>
      <c r="J29" s="154">
        <v>43497</v>
      </c>
      <c r="K29" s="150">
        <v>180</v>
      </c>
      <c r="L29" s="139">
        <f t="shared" si="1"/>
        <v>1</v>
      </c>
      <c r="M29" s="138">
        <f t="shared" si="3"/>
        <v>43704</v>
      </c>
      <c r="N29" s="47" t="s">
        <v>54</v>
      </c>
      <c r="O29" s="150" t="s">
        <v>98</v>
      </c>
      <c r="P29" s="130">
        <v>87</v>
      </c>
      <c r="Q29" s="129">
        <v>43565</v>
      </c>
      <c r="R29" s="135">
        <v>20994</v>
      </c>
      <c r="S29" s="134">
        <v>43566</v>
      </c>
      <c r="T29" s="133">
        <v>1</v>
      </c>
      <c r="U29" s="132" t="s">
        <v>38</v>
      </c>
      <c r="V29" s="131" t="s">
        <v>97</v>
      </c>
      <c r="W29" s="131" t="s">
        <v>97</v>
      </c>
      <c r="X29" s="131"/>
      <c r="Y29" s="130"/>
      <c r="Z29" s="129"/>
      <c r="AA29" s="128"/>
      <c r="AB29" s="129"/>
      <c r="AC29" s="128"/>
      <c r="AD29" s="128"/>
      <c r="AE29" s="127" t="s">
        <v>32</v>
      </c>
      <c r="AF29" s="127" t="s">
        <v>32</v>
      </c>
    </row>
    <row r="30" spans="1:32" ht="15.75" customHeight="1">
      <c r="A30" s="147">
        <v>27</v>
      </c>
      <c r="B30" s="147">
        <v>2019</v>
      </c>
      <c r="C30" s="153" t="s">
        <v>128</v>
      </c>
      <c r="D30" s="145" t="s">
        <v>105</v>
      </c>
      <c r="E30" s="145" t="s">
        <v>104</v>
      </c>
      <c r="F30" s="144">
        <v>170</v>
      </c>
      <c r="G30" s="156">
        <v>43514</v>
      </c>
      <c r="H30" s="152">
        <v>43511</v>
      </c>
      <c r="I30" s="155">
        <f t="shared" si="0"/>
        <v>43514</v>
      </c>
      <c r="J30" s="154">
        <v>43497</v>
      </c>
      <c r="K30" s="150">
        <v>180</v>
      </c>
      <c r="L30" s="139">
        <f t="shared" si="1"/>
        <v>6</v>
      </c>
      <c r="M30" s="138">
        <f t="shared" si="3"/>
        <v>43694</v>
      </c>
      <c r="N30" s="47" t="s">
        <v>99</v>
      </c>
      <c r="O30" s="150" t="s">
        <v>98</v>
      </c>
      <c r="P30" s="148"/>
      <c r="Q30" s="129"/>
      <c r="R30" s="135"/>
      <c r="S30" s="134"/>
      <c r="T30" s="133"/>
      <c r="U30" s="132" t="s">
        <v>38</v>
      </c>
      <c r="V30" s="131" t="s">
        <v>97</v>
      </c>
      <c r="W30" s="131" t="s">
        <v>97</v>
      </c>
      <c r="X30" s="131"/>
      <c r="Y30" s="130"/>
      <c r="Z30" s="129"/>
      <c r="AA30" s="128"/>
      <c r="AB30" s="129"/>
      <c r="AC30" s="128"/>
      <c r="AD30" s="128"/>
      <c r="AE30" s="127" t="s">
        <v>33</v>
      </c>
      <c r="AF30" s="127" t="s">
        <v>127</v>
      </c>
    </row>
    <row r="31" spans="1:32" ht="15.75" customHeight="1">
      <c r="A31" s="147">
        <v>28</v>
      </c>
      <c r="B31" s="147">
        <v>2019</v>
      </c>
      <c r="C31" s="153" t="s">
        <v>126</v>
      </c>
      <c r="D31" s="145" t="s">
        <v>125</v>
      </c>
      <c r="E31" s="145" t="s">
        <v>124</v>
      </c>
      <c r="F31" s="144">
        <v>2</v>
      </c>
      <c r="G31" s="156">
        <v>43481</v>
      </c>
      <c r="H31" s="152">
        <v>43477</v>
      </c>
      <c r="I31" s="155">
        <f t="shared" si="0"/>
        <v>43481</v>
      </c>
      <c r="J31" s="154">
        <v>43466</v>
      </c>
      <c r="K31" s="150">
        <v>180</v>
      </c>
      <c r="L31" s="139">
        <f t="shared" si="1"/>
        <v>7</v>
      </c>
      <c r="M31" s="138">
        <f t="shared" si="3"/>
        <v>43661</v>
      </c>
      <c r="N31" s="47" t="s">
        <v>66</v>
      </c>
      <c r="O31" s="150" t="s">
        <v>98</v>
      </c>
      <c r="P31" s="130">
        <v>34</v>
      </c>
      <c r="Q31" s="129">
        <v>43515</v>
      </c>
      <c r="R31" s="135">
        <v>20960</v>
      </c>
      <c r="S31" s="134">
        <v>43516</v>
      </c>
      <c r="T31" s="133">
        <v>2</v>
      </c>
      <c r="U31" s="132" t="s">
        <v>38</v>
      </c>
      <c r="V31" s="131" t="s">
        <v>97</v>
      </c>
      <c r="W31" s="131" t="s">
        <v>97</v>
      </c>
      <c r="X31" s="131"/>
      <c r="Y31" s="149">
        <v>654</v>
      </c>
      <c r="Z31" s="126">
        <v>43531</v>
      </c>
      <c r="AA31" s="128">
        <v>47</v>
      </c>
      <c r="AB31" s="129">
        <v>43535</v>
      </c>
      <c r="AC31" s="128">
        <v>10</v>
      </c>
      <c r="AD31" s="128" t="s">
        <v>96</v>
      </c>
      <c r="AE31" s="127" t="s">
        <v>30</v>
      </c>
      <c r="AF31" s="127" t="s">
        <v>30</v>
      </c>
    </row>
    <row r="32" spans="1:32" ht="15.75" customHeight="1">
      <c r="A32" s="147">
        <v>29</v>
      </c>
      <c r="B32" s="147">
        <v>2019</v>
      </c>
      <c r="C32" s="153" t="s">
        <v>123</v>
      </c>
      <c r="D32" s="157" t="s">
        <v>120</v>
      </c>
      <c r="E32" s="145" t="s">
        <v>122</v>
      </c>
      <c r="F32" s="144">
        <v>11268</v>
      </c>
      <c r="G32" s="156">
        <v>43495</v>
      </c>
      <c r="H32" s="152">
        <v>43489</v>
      </c>
      <c r="I32" s="155">
        <f t="shared" si="0"/>
        <v>43495</v>
      </c>
      <c r="J32" s="154">
        <v>43466</v>
      </c>
      <c r="K32" s="150">
        <v>180</v>
      </c>
      <c r="L32" s="139">
        <f t="shared" si="1"/>
        <v>5</v>
      </c>
      <c r="M32" s="138">
        <f t="shared" si="3"/>
        <v>43675</v>
      </c>
      <c r="N32" s="47" t="s">
        <v>66</v>
      </c>
      <c r="O32" s="150" t="s">
        <v>121</v>
      </c>
      <c r="P32" s="130">
        <v>45</v>
      </c>
      <c r="Q32" s="129">
        <v>43525</v>
      </c>
      <c r="R32" s="135">
        <v>20968</v>
      </c>
      <c r="S32" s="134">
        <v>43530</v>
      </c>
      <c r="T32" s="133">
        <v>1</v>
      </c>
      <c r="U32" s="132" t="s">
        <v>38</v>
      </c>
      <c r="V32" s="131" t="s">
        <v>97</v>
      </c>
      <c r="W32" s="131" t="s">
        <v>97</v>
      </c>
      <c r="X32" s="131"/>
      <c r="Y32" s="130">
        <v>709</v>
      </c>
      <c r="Z32" s="129">
        <v>43536</v>
      </c>
      <c r="AA32" s="128">
        <v>50</v>
      </c>
      <c r="AB32" s="129">
        <v>43538</v>
      </c>
      <c r="AC32" s="128">
        <v>10</v>
      </c>
      <c r="AD32" s="128" t="s">
        <v>96</v>
      </c>
      <c r="AE32" s="127" t="s">
        <v>30</v>
      </c>
      <c r="AF32" s="127" t="s">
        <v>30</v>
      </c>
    </row>
    <row r="33" spans="1:32" ht="15.75" customHeight="1">
      <c r="A33" s="147">
        <v>30</v>
      </c>
      <c r="B33" s="147">
        <v>2018</v>
      </c>
      <c r="C33" s="153" t="s">
        <v>119</v>
      </c>
      <c r="D33" s="145" t="s">
        <v>105</v>
      </c>
      <c r="E33" s="145" t="s">
        <v>118</v>
      </c>
      <c r="F33" s="144">
        <v>6131</v>
      </c>
      <c r="G33" s="152">
        <v>43433</v>
      </c>
      <c r="H33" s="152">
        <v>43433</v>
      </c>
      <c r="I33" s="142">
        <f t="shared" si="0"/>
        <v>43433</v>
      </c>
      <c r="J33" s="151">
        <v>43405</v>
      </c>
      <c r="K33" s="140">
        <v>180</v>
      </c>
      <c r="L33" s="139">
        <f t="shared" si="1"/>
        <v>5</v>
      </c>
      <c r="M33" s="138">
        <f t="shared" si="3"/>
        <v>43613</v>
      </c>
      <c r="N33" s="47" t="s">
        <v>99</v>
      </c>
      <c r="O33" s="150" t="s">
        <v>98</v>
      </c>
      <c r="P33" s="135">
        <v>2</v>
      </c>
      <c r="Q33" s="129">
        <v>43480</v>
      </c>
      <c r="R33" s="135">
        <v>20934</v>
      </c>
      <c r="S33" s="134">
        <v>43480</v>
      </c>
      <c r="T33" s="133">
        <v>5</v>
      </c>
      <c r="U33" s="132" t="s">
        <v>38</v>
      </c>
      <c r="V33" s="131" t="s">
        <v>97</v>
      </c>
      <c r="W33" s="131" t="s">
        <v>97</v>
      </c>
      <c r="X33" s="131"/>
      <c r="Y33" s="130">
        <v>24</v>
      </c>
      <c r="Z33" s="129">
        <v>43487</v>
      </c>
      <c r="AA33" s="128">
        <v>17</v>
      </c>
      <c r="AB33" s="129">
        <v>43489</v>
      </c>
      <c r="AC33" s="128">
        <v>27</v>
      </c>
      <c r="AD33" s="128" t="s">
        <v>96</v>
      </c>
      <c r="AE33" s="127" t="s">
        <v>30</v>
      </c>
      <c r="AF33" s="127" t="s">
        <v>30</v>
      </c>
    </row>
    <row r="34" spans="1:32" ht="15.75" customHeight="1">
      <c r="A34" s="147">
        <v>31</v>
      </c>
      <c r="B34" s="147">
        <v>2019</v>
      </c>
      <c r="C34" s="153" t="s">
        <v>117</v>
      </c>
      <c r="D34" s="145" t="s">
        <v>116</v>
      </c>
      <c r="E34" s="145" t="s">
        <v>115</v>
      </c>
      <c r="F34" s="144">
        <v>29</v>
      </c>
      <c r="G34" s="152">
        <v>43536</v>
      </c>
      <c r="H34" s="152">
        <v>43536</v>
      </c>
      <c r="I34" s="142">
        <f t="shared" si="0"/>
        <v>43536</v>
      </c>
      <c r="J34" s="151">
        <v>43525</v>
      </c>
      <c r="K34" s="140">
        <v>180</v>
      </c>
      <c r="L34" s="139">
        <f t="shared" si="1"/>
        <v>3</v>
      </c>
      <c r="M34" s="138">
        <f t="shared" si="3"/>
        <v>43716</v>
      </c>
      <c r="N34" s="47" t="s">
        <v>99</v>
      </c>
      <c r="O34" s="150" t="s">
        <v>111</v>
      </c>
      <c r="P34" s="135"/>
      <c r="Q34" s="129"/>
      <c r="R34" s="135"/>
      <c r="S34" s="134"/>
      <c r="T34" s="133"/>
      <c r="U34" s="132" t="s">
        <v>38</v>
      </c>
      <c r="V34" s="131" t="s">
        <v>97</v>
      </c>
      <c r="W34" s="131" t="s">
        <v>97</v>
      </c>
      <c r="X34" s="131"/>
      <c r="Y34" s="130"/>
      <c r="Z34" s="129"/>
      <c r="AA34" s="128"/>
      <c r="AB34" s="129"/>
      <c r="AC34" s="128"/>
      <c r="AD34" s="128"/>
      <c r="AE34" s="127" t="s">
        <v>33</v>
      </c>
      <c r="AF34" s="127" t="s">
        <v>33</v>
      </c>
    </row>
    <row r="35" spans="1:32" ht="15.75" customHeight="1">
      <c r="A35" s="147">
        <v>32</v>
      </c>
      <c r="B35" s="147">
        <v>2019</v>
      </c>
      <c r="C35" s="153" t="s">
        <v>114</v>
      </c>
      <c r="D35" s="145" t="s">
        <v>113</v>
      </c>
      <c r="E35" s="145" t="s">
        <v>112</v>
      </c>
      <c r="F35" s="144">
        <v>4785</v>
      </c>
      <c r="G35" s="152">
        <v>43504</v>
      </c>
      <c r="H35" s="152">
        <v>43502</v>
      </c>
      <c r="I35" s="142">
        <f t="shared" si="0"/>
        <v>43504</v>
      </c>
      <c r="J35" s="151">
        <v>43497</v>
      </c>
      <c r="K35" s="140">
        <v>180</v>
      </c>
      <c r="L35" s="139">
        <f t="shared" si="1"/>
        <v>4</v>
      </c>
      <c r="M35" s="138">
        <f>I35</f>
        <v>43504</v>
      </c>
      <c r="N35" s="47" t="s">
        <v>65</v>
      </c>
      <c r="O35" s="150" t="s">
        <v>111</v>
      </c>
      <c r="P35" s="135"/>
      <c r="Q35" s="129"/>
      <c r="R35" s="135"/>
      <c r="S35" s="134"/>
      <c r="T35" s="133"/>
      <c r="U35" s="132" t="s">
        <v>38</v>
      </c>
      <c r="V35" s="131" t="s">
        <v>97</v>
      </c>
      <c r="W35" s="131" t="s">
        <v>97</v>
      </c>
      <c r="X35" s="131"/>
      <c r="Y35" s="130"/>
      <c r="Z35" s="129"/>
      <c r="AA35" s="128"/>
      <c r="AB35" s="129"/>
      <c r="AC35" s="128"/>
      <c r="AD35" s="128"/>
      <c r="AE35" s="127" t="s">
        <v>34</v>
      </c>
      <c r="AF35" s="127" t="s">
        <v>110</v>
      </c>
    </row>
    <row r="36" spans="1:32" ht="15.75" customHeight="1">
      <c r="A36" s="147">
        <v>33</v>
      </c>
      <c r="B36" s="147">
        <v>2019</v>
      </c>
      <c r="C36" s="153" t="s">
        <v>109</v>
      </c>
      <c r="D36" s="145" t="s">
        <v>108</v>
      </c>
      <c r="E36" s="145" t="s">
        <v>107</v>
      </c>
      <c r="F36" s="144">
        <v>3</v>
      </c>
      <c r="G36" s="152">
        <v>43500</v>
      </c>
      <c r="H36" s="152">
        <v>43497</v>
      </c>
      <c r="I36" s="142">
        <f t="shared" si="0"/>
        <v>43500</v>
      </c>
      <c r="J36" s="151">
        <v>43497</v>
      </c>
      <c r="K36" s="140">
        <v>180</v>
      </c>
      <c r="L36" s="139">
        <f t="shared" si="1"/>
        <v>6</v>
      </c>
      <c r="M36" s="138">
        <f>SUM(I36+K36)</f>
        <v>43680</v>
      </c>
      <c r="N36" s="47" t="s">
        <v>73</v>
      </c>
      <c r="O36" s="150" t="s">
        <v>98</v>
      </c>
      <c r="P36" s="130">
        <v>87</v>
      </c>
      <c r="Q36" s="129">
        <v>43565</v>
      </c>
      <c r="R36" s="135">
        <v>20994</v>
      </c>
      <c r="S36" s="134">
        <v>43566</v>
      </c>
      <c r="T36" s="133">
        <v>1</v>
      </c>
      <c r="U36" s="132" t="s">
        <v>38</v>
      </c>
      <c r="V36" s="131" t="s">
        <v>97</v>
      </c>
      <c r="W36" s="131" t="s">
        <v>97</v>
      </c>
      <c r="X36" s="131"/>
      <c r="Y36" s="130"/>
      <c r="Z36" s="129"/>
      <c r="AA36" s="128"/>
      <c r="AB36" s="129"/>
      <c r="AC36" s="128"/>
      <c r="AD36" s="128"/>
      <c r="AE36" s="127" t="s">
        <v>32</v>
      </c>
      <c r="AF36" s="127" t="s">
        <v>32</v>
      </c>
    </row>
    <row r="37" spans="1:32" ht="15.75" customHeight="1">
      <c r="A37" s="147">
        <v>34</v>
      </c>
      <c r="B37" s="147">
        <v>2018</v>
      </c>
      <c r="C37" s="146" t="s">
        <v>105</v>
      </c>
      <c r="D37" s="145" t="s">
        <v>105</v>
      </c>
      <c r="E37" s="145" t="s">
        <v>104</v>
      </c>
      <c r="F37" s="144">
        <v>174</v>
      </c>
      <c r="G37" s="143">
        <v>43378</v>
      </c>
      <c r="H37" s="143">
        <v>43374</v>
      </c>
      <c r="I37" s="142">
        <f t="shared" si="0"/>
        <v>43378</v>
      </c>
      <c r="J37" s="141">
        <v>43374</v>
      </c>
      <c r="K37" s="140">
        <v>180</v>
      </c>
      <c r="L37" s="139">
        <f t="shared" si="1"/>
        <v>2</v>
      </c>
      <c r="M37" s="138">
        <f>SUM(I37+K37)</f>
        <v>43558</v>
      </c>
      <c r="N37" s="47" t="s">
        <v>99</v>
      </c>
      <c r="O37" s="136" t="s">
        <v>98</v>
      </c>
      <c r="P37" s="148">
        <v>1776</v>
      </c>
      <c r="Q37" s="129">
        <v>43398</v>
      </c>
      <c r="R37" s="135">
        <v>20884</v>
      </c>
      <c r="S37" s="134">
        <v>43399</v>
      </c>
      <c r="T37" s="133" t="s">
        <v>103</v>
      </c>
      <c r="U37" s="132" t="s">
        <v>38</v>
      </c>
      <c r="V37" s="131" t="s">
        <v>97</v>
      </c>
      <c r="W37" s="131" t="s">
        <v>97</v>
      </c>
      <c r="X37" s="131"/>
      <c r="Y37" s="130">
        <v>310</v>
      </c>
      <c r="Z37" s="129">
        <v>43405</v>
      </c>
      <c r="AA37" s="128">
        <v>213</v>
      </c>
      <c r="AB37" s="129">
        <v>43410</v>
      </c>
      <c r="AC37" s="128">
        <v>30</v>
      </c>
      <c r="AD37" s="128" t="s">
        <v>96</v>
      </c>
      <c r="AE37" s="127" t="s">
        <v>30</v>
      </c>
      <c r="AF37" s="127" t="s">
        <v>30</v>
      </c>
    </row>
    <row r="38" spans="1:32" ht="15.75" customHeight="1">
      <c r="A38" s="147">
        <v>35</v>
      </c>
      <c r="B38" s="147">
        <v>2018</v>
      </c>
      <c r="C38" s="146" t="s">
        <v>106</v>
      </c>
      <c r="D38" s="145" t="s">
        <v>105</v>
      </c>
      <c r="E38" s="145" t="s">
        <v>104</v>
      </c>
      <c r="F38" s="144">
        <v>268</v>
      </c>
      <c r="G38" s="143">
        <v>43378</v>
      </c>
      <c r="H38" s="143">
        <v>43374</v>
      </c>
      <c r="I38" s="142">
        <f t="shared" si="0"/>
        <v>43378</v>
      </c>
      <c r="J38" s="141">
        <v>43374</v>
      </c>
      <c r="K38" s="140">
        <v>180</v>
      </c>
      <c r="L38" s="139">
        <f t="shared" si="1"/>
        <v>2</v>
      </c>
      <c r="M38" s="138">
        <f>SUM(I38+K38)</f>
        <v>43558</v>
      </c>
      <c r="N38" s="47" t="s">
        <v>54</v>
      </c>
      <c r="O38" s="136" t="s">
        <v>98</v>
      </c>
      <c r="P38" s="148">
        <v>1776</v>
      </c>
      <c r="Q38" s="129">
        <v>43398</v>
      </c>
      <c r="R38" s="135">
        <v>20884</v>
      </c>
      <c r="S38" s="134">
        <v>43399</v>
      </c>
      <c r="T38" s="133" t="s">
        <v>103</v>
      </c>
      <c r="U38" s="132" t="s">
        <v>37</v>
      </c>
      <c r="V38" s="131"/>
      <c r="W38" s="131"/>
      <c r="X38" s="131"/>
      <c r="Y38" s="130">
        <v>313</v>
      </c>
      <c r="Z38" s="129">
        <v>43410</v>
      </c>
      <c r="AA38" s="128">
        <v>215</v>
      </c>
      <c r="AB38" s="129">
        <v>43412</v>
      </c>
      <c r="AC38" s="128">
        <v>113</v>
      </c>
      <c r="AD38" s="128" t="s">
        <v>96</v>
      </c>
      <c r="AE38" s="127" t="s">
        <v>30</v>
      </c>
      <c r="AF38" s="127" t="s">
        <v>30</v>
      </c>
    </row>
    <row r="39" spans="1:32" ht="15.75" customHeight="1">
      <c r="A39" s="147">
        <v>36</v>
      </c>
      <c r="B39" s="147">
        <v>2018</v>
      </c>
      <c r="C39" s="146" t="s">
        <v>102</v>
      </c>
      <c r="D39" s="145" t="s">
        <v>101</v>
      </c>
      <c r="E39" s="145" t="s">
        <v>100</v>
      </c>
      <c r="F39" s="144">
        <v>107</v>
      </c>
      <c r="G39" s="143">
        <v>43382</v>
      </c>
      <c r="H39" s="143">
        <v>43382</v>
      </c>
      <c r="I39" s="142">
        <f t="shared" si="0"/>
        <v>43382</v>
      </c>
      <c r="J39" s="141">
        <v>43374</v>
      </c>
      <c r="K39" s="140">
        <v>180</v>
      </c>
      <c r="L39" s="139">
        <f t="shared" si="1"/>
        <v>3</v>
      </c>
      <c r="M39" s="138">
        <f>SUM(I39+K39)</f>
        <v>43562</v>
      </c>
      <c r="N39" s="137" t="s">
        <v>99</v>
      </c>
      <c r="O39" s="136" t="s">
        <v>98</v>
      </c>
      <c r="P39" s="135">
        <v>1785</v>
      </c>
      <c r="Q39" s="129">
        <v>43409</v>
      </c>
      <c r="R39" s="135">
        <v>20890</v>
      </c>
      <c r="S39" s="134">
        <v>43410</v>
      </c>
      <c r="T39" s="133">
        <v>1</v>
      </c>
      <c r="U39" s="132" t="s">
        <v>38</v>
      </c>
      <c r="V39" s="131" t="s">
        <v>97</v>
      </c>
      <c r="W39" s="131" t="s">
        <v>97</v>
      </c>
      <c r="X39" s="131"/>
      <c r="Y39" s="130">
        <v>342</v>
      </c>
      <c r="Z39" s="129">
        <v>43433</v>
      </c>
      <c r="AA39" s="128">
        <v>230</v>
      </c>
      <c r="AB39" s="129">
        <v>43434</v>
      </c>
      <c r="AC39" s="128">
        <v>178</v>
      </c>
      <c r="AD39" s="128" t="s">
        <v>96</v>
      </c>
      <c r="AE39" s="127" t="s">
        <v>30</v>
      </c>
      <c r="AF39" s="127" t="s">
        <v>30</v>
      </c>
    </row>
    <row r="40" spans="1:32" ht="15.75" customHeight="1">
      <c r="A40" s="125"/>
      <c r="C40" s="116"/>
      <c r="D40" s="116"/>
      <c r="E40" s="115"/>
      <c r="F40" s="114"/>
      <c r="G40" s="113"/>
      <c r="H40" s="113"/>
      <c r="I40" s="124"/>
      <c r="J40" s="123"/>
      <c r="K40" s="111"/>
      <c r="L40" s="122"/>
      <c r="M40" s="110"/>
      <c r="N40" s="121"/>
      <c r="O40" s="109"/>
      <c r="P40" s="108"/>
      <c r="Q40" s="120"/>
      <c r="R40" s="120"/>
      <c r="S40" s="120"/>
      <c r="T40" s="120"/>
      <c r="U40" s="3"/>
      <c r="V40" s="119"/>
      <c r="W40" s="118"/>
      <c r="X40" s="118"/>
      <c r="Y40" s="105"/>
      <c r="Z40" s="104"/>
      <c r="AA40" s="103"/>
      <c r="AB40" s="104"/>
      <c r="AC40" s="103"/>
      <c r="AD40" s="103"/>
      <c r="AE40" s="79"/>
      <c r="AF40" s="79"/>
    </row>
    <row r="41" spans="1:32" ht="13.5" customHeight="1">
      <c r="A41" s="9" t="s">
        <v>95</v>
      </c>
      <c r="C41" s="117">
        <f>SUBTOTAL(3,C4:C39)</f>
        <v>36</v>
      </c>
      <c r="D41" s="116"/>
      <c r="E41" s="115"/>
      <c r="F41" s="114"/>
      <c r="G41" s="113"/>
      <c r="H41" s="113"/>
      <c r="I41" s="113"/>
      <c r="J41" s="112"/>
      <c r="K41" s="111"/>
      <c r="L41" s="109">
        <f>SUBTOTAL(3,L4:L39)</f>
        <v>36</v>
      </c>
      <c r="M41" s="110"/>
      <c r="N41" s="109">
        <f>SUBTOTAL(3,N4:N39)</f>
        <v>36</v>
      </c>
      <c r="O41" s="109">
        <f>SUBTOTAL(3,O4:O39)</f>
        <v>36</v>
      </c>
      <c r="P41" s="109">
        <f>SUBTOTAL(3,P4:P39)</f>
        <v>30</v>
      </c>
      <c r="Q41" s="104"/>
      <c r="R41" s="108"/>
      <c r="S41" s="107"/>
      <c r="T41" s="106"/>
      <c r="U41" s="53"/>
      <c r="V41" s="53"/>
      <c r="W41" s="53"/>
      <c r="X41" s="53"/>
      <c r="Y41" s="109">
        <f>SUBTOTAL(3,Y4:Y39)</f>
        <v>23</v>
      </c>
      <c r="Z41" s="104"/>
      <c r="AA41" s="103"/>
      <c r="AB41" s="104"/>
      <c r="AC41" s="103"/>
      <c r="AD41" s="103"/>
      <c r="AE41" s="79"/>
      <c r="AF41" s="79"/>
    </row>
    <row r="42" spans="1:32" ht="13.5" customHeight="1">
      <c r="C42" s="116"/>
      <c r="D42" s="116"/>
      <c r="E42" s="115"/>
      <c r="F42" s="114"/>
      <c r="G42" s="113"/>
      <c r="H42" s="113"/>
      <c r="I42" s="113"/>
      <c r="J42" s="112"/>
      <c r="K42" s="111"/>
      <c r="L42" s="111"/>
      <c r="M42" s="110"/>
      <c r="N42" s="109"/>
      <c r="O42" s="109"/>
      <c r="P42" s="108"/>
      <c r="Q42" s="104"/>
      <c r="R42" s="108"/>
      <c r="S42" s="107"/>
      <c r="T42" s="106"/>
      <c r="U42" s="53"/>
      <c r="V42" s="53"/>
      <c r="W42" s="53"/>
      <c r="X42" s="53"/>
      <c r="Y42" s="105"/>
      <c r="Z42" s="104"/>
      <c r="AA42" s="103"/>
      <c r="AB42" s="104"/>
      <c r="AC42" s="103"/>
      <c r="AD42" s="103"/>
      <c r="AE42" s="79"/>
      <c r="AF42" s="79"/>
    </row>
    <row r="43" spans="1:32" ht="13.9" customHeight="1">
      <c r="C43" s="102" t="s">
        <v>94</v>
      </c>
      <c r="D43" s="101"/>
      <c r="E43" s="99"/>
      <c r="F43" s="98"/>
      <c r="G43" s="96"/>
      <c r="H43" s="96"/>
      <c r="I43" s="96"/>
      <c r="J43" s="96"/>
      <c r="K43" s="97"/>
      <c r="L43" s="97"/>
      <c r="M43" s="96"/>
      <c r="N43" s="1"/>
      <c r="O43" s="1"/>
      <c r="P43" s="1"/>
      <c r="Q43" s="1"/>
      <c r="R43" s="1"/>
      <c r="S43" s="27"/>
      <c r="T43" s="95"/>
      <c r="U43" s="53"/>
      <c r="V43" s="53"/>
      <c r="W43" s="53"/>
      <c r="X43" s="53"/>
      <c r="Y43" s="52"/>
      <c r="Z43" s="51"/>
      <c r="AA43" s="52"/>
      <c r="AB43" s="51"/>
      <c r="AC43" s="50"/>
      <c r="AD43" s="50"/>
    </row>
    <row r="44" spans="1:32" ht="13.9" customHeight="1">
      <c r="C44" s="100"/>
      <c r="D44" s="100"/>
      <c r="E44" s="99" t="s">
        <v>93</v>
      </c>
      <c r="F44" s="98"/>
      <c r="G44" s="96"/>
      <c r="H44" s="96"/>
      <c r="I44" s="96"/>
      <c r="J44" s="96"/>
      <c r="K44" s="97"/>
      <c r="L44" s="97"/>
      <c r="M44" s="96"/>
      <c r="N44" s="1"/>
      <c r="O44" s="1"/>
      <c r="P44" s="1"/>
      <c r="Q44" s="1"/>
      <c r="R44" s="1"/>
      <c r="S44" s="27"/>
      <c r="T44" s="95"/>
      <c r="U44" s="53"/>
      <c r="V44" s="53"/>
      <c r="W44" s="53"/>
      <c r="X44" s="53"/>
      <c r="Y44" s="52"/>
      <c r="Z44" s="51"/>
      <c r="AA44" s="52"/>
      <c r="AB44" s="51"/>
      <c r="AC44" s="50"/>
      <c r="AD44" s="50"/>
    </row>
    <row r="45" spans="1:32" ht="17.25" customHeight="1">
      <c r="A45" s="94" t="s">
        <v>92</v>
      </c>
      <c r="C45" s="93"/>
      <c r="D45" s="83"/>
      <c r="E45" s="92"/>
      <c r="F45" s="86"/>
      <c r="G45" s="75"/>
      <c r="H45" s="75"/>
      <c r="I45" s="75"/>
      <c r="J45" s="75"/>
      <c r="K45" s="60"/>
      <c r="L45" s="75"/>
      <c r="M45" s="1"/>
      <c r="N45" s="31"/>
      <c r="O45" s="85"/>
      <c r="P45" s="60"/>
      <c r="Q45" s="60"/>
      <c r="R45" s="91"/>
      <c r="S45" s="90"/>
      <c r="T45" s="74"/>
      <c r="U45" s="53"/>
      <c r="V45" s="53"/>
      <c r="W45" s="53"/>
      <c r="X45" s="53"/>
      <c r="Y45" s="52"/>
      <c r="Z45" s="51"/>
      <c r="AA45" s="52"/>
      <c r="AB45" s="51"/>
      <c r="AC45" s="50"/>
      <c r="AD45" s="50"/>
    </row>
    <row r="46" spans="1:32" ht="17.25" customHeight="1">
      <c r="A46" s="89" t="s">
        <v>88</v>
      </c>
      <c r="C46" s="88" t="s">
        <v>91</v>
      </c>
      <c r="D46" s="83"/>
      <c r="E46" s="87"/>
      <c r="F46" s="86"/>
      <c r="G46" s="75"/>
      <c r="H46" s="75"/>
      <c r="I46" s="75"/>
      <c r="J46" s="66"/>
      <c r="K46" s="58"/>
      <c r="L46" s="58"/>
      <c r="M46" s="1"/>
      <c r="N46" s="31"/>
      <c r="O46" s="85"/>
      <c r="P46" s="60"/>
      <c r="Q46" s="60"/>
      <c r="R46" s="60"/>
      <c r="S46" s="84"/>
      <c r="T46" s="74"/>
      <c r="U46" s="53"/>
      <c r="V46" s="53"/>
      <c r="W46" s="53"/>
      <c r="X46" s="53"/>
      <c r="Y46" s="52"/>
      <c r="Z46" s="51"/>
      <c r="AA46" s="52"/>
      <c r="AB46" s="51"/>
      <c r="AC46" s="50"/>
      <c r="AD46" s="50"/>
    </row>
    <row r="47" spans="1:32" ht="17.25" customHeight="1">
      <c r="A47" s="89" t="s">
        <v>87</v>
      </c>
      <c r="C47" s="88" t="s">
        <v>90</v>
      </c>
      <c r="D47" s="83"/>
      <c r="E47" s="87"/>
      <c r="F47" s="86"/>
      <c r="G47" s="75"/>
      <c r="H47" s="75"/>
      <c r="I47" s="75"/>
      <c r="J47" s="66"/>
      <c r="K47" s="58"/>
      <c r="L47" s="58"/>
      <c r="M47" s="1"/>
      <c r="N47" s="1"/>
      <c r="O47" s="85"/>
      <c r="P47" s="60"/>
      <c r="Q47" s="60"/>
      <c r="R47" s="60"/>
      <c r="S47" s="84"/>
      <c r="T47" s="74"/>
      <c r="U47" s="53"/>
      <c r="V47" s="53"/>
      <c r="W47" s="53"/>
      <c r="X47" s="53"/>
      <c r="Y47" s="52"/>
      <c r="Z47" s="51"/>
      <c r="AA47" s="52"/>
      <c r="AB47" s="51"/>
      <c r="AC47" s="50"/>
      <c r="AD47" s="50"/>
    </row>
    <row r="48" spans="1:32" ht="14.25" customHeight="1">
      <c r="C48" s="83"/>
      <c r="D48" s="83"/>
      <c r="E48" s="82"/>
      <c r="F48" s="81"/>
      <c r="G48" s="70"/>
      <c r="H48" s="80"/>
      <c r="I48" s="70"/>
      <c r="J48" s="66"/>
      <c r="K48" s="58"/>
      <c r="L48" s="58"/>
      <c r="M48" s="1"/>
      <c r="N48" s="73"/>
      <c r="O48" s="69"/>
      <c r="P48" s="72"/>
      <c r="Q48" s="71"/>
      <c r="R48" s="58"/>
      <c r="S48" s="68"/>
      <c r="T48" s="74"/>
      <c r="U48" s="53"/>
      <c r="V48" s="53"/>
      <c r="W48" s="53"/>
      <c r="X48" s="53"/>
      <c r="Y48" s="52"/>
      <c r="Z48" s="51"/>
      <c r="AA48" s="52"/>
      <c r="AB48" s="51"/>
      <c r="AC48" s="50"/>
      <c r="AD48" s="50"/>
    </row>
    <row r="49" spans="3:30" ht="14.25" customHeight="1">
      <c r="C49" s="78" t="s">
        <v>89</v>
      </c>
      <c r="D49" s="77" t="s">
        <v>88</v>
      </c>
      <c r="E49" s="76" t="s">
        <v>87</v>
      </c>
      <c r="F49" s="76" t="s">
        <v>0</v>
      </c>
      <c r="G49" s="75"/>
      <c r="H49" s="75"/>
      <c r="I49" s="70"/>
      <c r="J49" s="66"/>
      <c r="K49" s="58"/>
      <c r="L49" s="58"/>
      <c r="M49" s="1"/>
      <c r="N49" s="73"/>
      <c r="O49" s="69"/>
      <c r="P49" s="72"/>
      <c r="Q49" s="71"/>
      <c r="R49" s="58"/>
      <c r="S49" s="68"/>
      <c r="T49" s="74"/>
      <c r="U49" s="53"/>
      <c r="V49" s="53"/>
      <c r="W49" s="53"/>
      <c r="X49" s="53"/>
      <c r="Y49" s="52"/>
      <c r="Z49" s="51"/>
      <c r="AA49" s="52"/>
      <c r="AB49" s="51"/>
      <c r="AC49" s="50"/>
      <c r="AD49" s="50"/>
    </row>
    <row r="50" spans="3:30" ht="14.25" customHeight="1">
      <c r="C50" s="67" t="s">
        <v>73</v>
      </c>
      <c r="D50" s="174">
        <f t="shared" ref="D50:D69" si="4">D74</f>
        <v>5</v>
      </c>
      <c r="E50" s="175">
        <f t="shared" ref="E50:E69" si="5">D97</f>
        <v>0</v>
      </c>
      <c r="F50" s="176">
        <f t="shared" ref="F50:F70" si="6">SUM(D50:E50)</f>
        <v>5</v>
      </c>
      <c r="G50" s="58"/>
      <c r="H50" s="60"/>
      <c r="I50" s="75"/>
      <c r="J50" s="66"/>
      <c r="K50" s="58"/>
      <c r="L50" s="58"/>
      <c r="M50" s="1"/>
      <c r="N50" s="73"/>
      <c r="O50" s="69"/>
      <c r="P50" s="72"/>
      <c r="Q50" s="71"/>
      <c r="R50" s="58"/>
      <c r="S50" s="68"/>
      <c r="T50" s="74"/>
      <c r="U50" s="53"/>
      <c r="V50" s="53"/>
      <c r="W50" s="53"/>
      <c r="X50" s="53"/>
      <c r="Y50" s="52"/>
      <c r="Z50" s="51"/>
      <c r="AA50" s="52"/>
      <c r="AB50" s="51"/>
      <c r="AC50" s="50"/>
      <c r="AD50" s="50"/>
    </row>
    <row r="51" spans="3:30" ht="14.25" customHeight="1">
      <c r="C51" s="67" t="s">
        <v>72</v>
      </c>
      <c r="D51" s="174">
        <f t="shared" si="4"/>
        <v>18</v>
      </c>
      <c r="E51" s="175">
        <f t="shared" si="5"/>
        <v>0</v>
      </c>
      <c r="F51" s="176">
        <f t="shared" si="6"/>
        <v>18</v>
      </c>
      <c r="G51" s="58"/>
      <c r="H51" s="60"/>
      <c r="I51" s="75"/>
      <c r="J51" s="66"/>
      <c r="K51" s="58"/>
      <c r="L51" s="58"/>
      <c r="M51" s="1"/>
      <c r="N51" s="73"/>
      <c r="O51" s="69"/>
      <c r="P51" s="72"/>
      <c r="Q51" s="71"/>
      <c r="R51" s="58"/>
      <c r="S51" s="68"/>
      <c r="T51" s="74"/>
      <c r="U51" s="53"/>
      <c r="V51" s="53"/>
      <c r="W51" s="53"/>
      <c r="X51" s="53"/>
      <c r="Y51" s="52"/>
      <c r="Z51" s="51"/>
      <c r="AA51" s="52"/>
      <c r="AB51" s="51"/>
      <c r="AC51" s="50"/>
      <c r="AD51" s="50"/>
    </row>
    <row r="52" spans="3:30" ht="14.25" customHeight="1">
      <c r="C52" s="67" t="s">
        <v>71</v>
      </c>
      <c r="D52" s="174">
        <f t="shared" si="4"/>
        <v>0</v>
      </c>
      <c r="E52" s="175">
        <f t="shared" si="5"/>
        <v>0</v>
      </c>
      <c r="F52" s="176">
        <f t="shared" si="6"/>
        <v>0</v>
      </c>
      <c r="G52" s="58"/>
      <c r="H52" s="60"/>
      <c r="I52" s="75"/>
      <c r="J52" s="66"/>
      <c r="K52" s="58"/>
      <c r="L52" s="58"/>
      <c r="M52" s="1"/>
      <c r="N52" s="73"/>
      <c r="O52" s="69"/>
      <c r="P52" s="72"/>
      <c r="Q52" s="71"/>
      <c r="R52" s="58"/>
      <c r="S52" s="68"/>
      <c r="T52" s="74"/>
      <c r="U52" s="53"/>
      <c r="V52" s="53"/>
      <c r="W52" s="53"/>
      <c r="X52" s="53"/>
      <c r="Y52" s="52"/>
      <c r="Z52" s="51"/>
      <c r="AA52" s="52"/>
      <c r="AB52" s="51"/>
      <c r="AC52" s="50"/>
      <c r="AD52" s="50"/>
    </row>
    <row r="53" spans="3:30" ht="14.25" customHeight="1">
      <c r="C53" s="67" t="s">
        <v>70</v>
      </c>
      <c r="D53" s="174">
        <f t="shared" si="4"/>
        <v>0</v>
      </c>
      <c r="E53" s="175">
        <f t="shared" si="5"/>
        <v>0</v>
      </c>
      <c r="F53" s="176">
        <f t="shared" si="6"/>
        <v>0</v>
      </c>
      <c r="G53" s="58"/>
      <c r="H53" s="60"/>
      <c r="I53" s="70"/>
      <c r="J53" s="66"/>
      <c r="K53" s="58"/>
      <c r="L53" s="58"/>
      <c r="M53" s="1"/>
      <c r="N53" s="73"/>
      <c r="O53" s="69"/>
      <c r="P53" s="72"/>
      <c r="Q53" s="71"/>
      <c r="R53" s="58"/>
      <c r="S53" s="68"/>
      <c r="T53" s="74"/>
      <c r="U53" s="53"/>
      <c r="V53" s="53"/>
      <c r="W53" s="53"/>
      <c r="X53" s="53"/>
      <c r="Y53" s="52"/>
      <c r="Z53" s="51"/>
      <c r="AA53" s="52"/>
      <c r="AB53" s="51"/>
      <c r="AC53" s="50"/>
      <c r="AD53" s="50"/>
    </row>
    <row r="54" spans="3:30" ht="14.25" customHeight="1">
      <c r="C54" s="61" t="s">
        <v>86</v>
      </c>
      <c r="D54" s="174">
        <f t="shared" si="4"/>
        <v>1</v>
      </c>
      <c r="E54" s="175">
        <f t="shared" si="5"/>
        <v>0</v>
      </c>
      <c r="F54" s="176">
        <f t="shared" si="6"/>
        <v>1</v>
      </c>
      <c r="G54" s="58"/>
      <c r="H54" s="60"/>
      <c r="I54" s="70"/>
      <c r="J54" s="66"/>
      <c r="K54" s="58"/>
      <c r="L54" s="58"/>
      <c r="M54" s="1"/>
      <c r="N54" s="73"/>
      <c r="O54" s="69"/>
      <c r="P54" s="72"/>
      <c r="Q54" s="71"/>
      <c r="R54" s="58"/>
      <c r="S54" s="68"/>
      <c r="T54" s="74"/>
      <c r="U54" s="53"/>
      <c r="V54" s="53"/>
      <c r="W54" s="53"/>
      <c r="X54" s="53"/>
      <c r="Y54" s="52"/>
      <c r="Z54" s="51"/>
      <c r="AA54" s="52"/>
      <c r="AB54" s="51"/>
      <c r="AC54" s="50"/>
      <c r="AD54" s="50"/>
    </row>
    <row r="55" spans="3:30" ht="14.25" customHeight="1">
      <c r="C55" s="61" t="s">
        <v>85</v>
      </c>
      <c r="D55" s="174">
        <f t="shared" si="4"/>
        <v>0</v>
      </c>
      <c r="E55" s="175">
        <f t="shared" si="5"/>
        <v>0</v>
      </c>
      <c r="F55" s="176">
        <f t="shared" si="6"/>
        <v>0</v>
      </c>
      <c r="G55" s="58"/>
      <c r="H55" s="60"/>
      <c r="I55" s="70"/>
      <c r="J55" s="66"/>
      <c r="K55" s="58"/>
      <c r="L55" s="58"/>
      <c r="M55" s="1" t="s">
        <v>84</v>
      </c>
      <c r="N55" s="73"/>
      <c r="O55" s="69"/>
      <c r="P55" s="72"/>
      <c r="Q55" s="71"/>
      <c r="R55" s="58"/>
      <c r="S55" s="68"/>
      <c r="T55" s="54"/>
      <c r="U55" s="53"/>
      <c r="V55" s="53"/>
      <c r="W55" s="53"/>
      <c r="X55" s="53"/>
      <c r="Y55" s="52"/>
      <c r="Z55" s="51"/>
      <c r="AA55" s="52"/>
      <c r="AB55" s="51"/>
      <c r="AC55" s="50"/>
      <c r="AD55" s="50"/>
    </row>
    <row r="56" spans="3:30" ht="14.25" customHeight="1">
      <c r="C56" s="61" t="s">
        <v>83</v>
      </c>
      <c r="D56" s="174">
        <f t="shared" si="4"/>
        <v>0</v>
      </c>
      <c r="E56" s="175">
        <f t="shared" si="5"/>
        <v>0</v>
      </c>
      <c r="F56" s="176">
        <f t="shared" si="6"/>
        <v>0</v>
      </c>
      <c r="G56" s="58"/>
      <c r="H56" s="60"/>
      <c r="I56" s="70"/>
      <c r="J56" s="66"/>
      <c r="K56" s="58"/>
      <c r="L56" s="58"/>
      <c r="M56" s="1"/>
      <c r="N56" s="73"/>
      <c r="O56" s="69"/>
      <c r="P56" s="72"/>
      <c r="Q56" s="71"/>
      <c r="R56" s="58"/>
      <c r="S56" s="68"/>
      <c r="T56" s="54"/>
      <c r="U56" s="53"/>
      <c r="V56" s="53"/>
      <c r="W56" s="53"/>
      <c r="X56" s="53"/>
      <c r="Y56" s="52"/>
      <c r="Z56" s="51"/>
      <c r="AA56" s="52"/>
      <c r="AB56" s="51"/>
      <c r="AC56" s="50"/>
      <c r="AD56" s="50"/>
    </row>
    <row r="57" spans="3:30" ht="14.25" customHeight="1">
      <c r="C57" s="61" t="s">
        <v>66</v>
      </c>
      <c r="D57" s="174">
        <f t="shared" si="4"/>
        <v>8</v>
      </c>
      <c r="E57" s="175">
        <f t="shared" si="5"/>
        <v>0</v>
      </c>
      <c r="F57" s="176">
        <f t="shared" si="6"/>
        <v>8</v>
      </c>
      <c r="G57" s="58"/>
      <c r="H57" s="60"/>
      <c r="I57" s="70"/>
      <c r="J57" s="66"/>
      <c r="K57" s="58"/>
      <c r="L57" s="58"/>
      <c r="M57" s="1"/>
      <c r="N57" s="73"/>
      <c r="O57" s="69"/>
      <c r="P57" s="72"/>
      <c r="Q57" s="71"/>
      <c r="R57" s="58"/>
      <c r="S57" s="68"/>
      <c r="T57" s="54"/>
      <c r="U57" s="53"/>
      <c r="V57" s="53"/>
      <c r="W57" s="53"/>
      <c r="X57" s="53"/>
      <c r="Y57" s="52"/>
      <c r="Z57" s="51"/>
      <c r="AA57" s="52"/>
      <c r="AB57" s="51"/>
      <c r="AC57" s="50"/>
      <c r="AD57" s="50"/>
    </row>
    <row r="58" spans="3:30" ht="14.25" customHeight="1">
      <c r="C58" s="61" t="s">
        <v>65</v>
      </c>
      <c r="D58" s="174">
        <f t="shared" si="4"/>
        <v>1</v>
      </c>
      <c r="E58" s="175">
        <f t="shared" si="5"/>
        <v>0</v>
      </c>
      <c r="F58" s="176">
        <f t="shared" si="6"/>
        <v>1</v>
      </c>
      <c r="G58" s="58"/>
      <c r="H58" s="60"/>
      <c r="I58" s="70"/>
      <c r="J58" s="66"/>
      <c r="K58" s="58"/>
      <c r="L58" s="58"/>
      <c r="M58" s="1"/>
      <c r="N58" s="73"/>
      <c r="O58" s="69"/>
      <c r="P58" s="72"/>
      <c r="Q58" s="71"/>
      <c r="R58" s="58"/>
      <c r="S58" s="68"/>
      <c r="T58" s="54"/>
      <c r="U58" s="53"/>
      <c r="V58" s="53"/>
      <c r="W58" s="53"/>
      <c r="X58" s="53"/>
      <c r="Y58" s="52"/>
      <c r="Z58" s="51"/>
      <c r="AA58" s="52"/>
      <c r="AB58" s="51"/>
      <c r="AC58" s="50"/>
      <c r="AD58" s="50"/>
    </row>
    <row r="59" spans="3:30" ht="14.25" customHeight="1">
      <c r="C59" s="61" t="s">
        <v>64</v>
      </c>
      <c r="D59" s="174">
        <f t="shared" si="4"/>
        <v>0</v>
      </c>
      <c r="E59" s="175">
        <f t="shared" si="5"/>
        <v>0</v>
      </c>
      <c r="F59" s="176">
        <f t="shared" si="6"/>
        <v>0</v>
      </c>
      <c r="G59" s="58"/>
      <c r="H59" s="60"/>
      <c r="I59" s="70"/>
      <c r="J59" s="66"/>
      <c r="K59" s="58"/>
      <c r="L59" s="58"/>
      <c r="M59" s="1"/>
      <c r="N59" s="73"/>
      <c r="O59" s="69"/>
      <c r="P59" s="72"/>
      <c r="Q59" s="71"/>
      <c r="R59" s="58"/>
      <c r="S59" s="68"/>
      <c r="T59" s="54"/>
      <c r="U59" s="53"/>
      <c r="V59" s="53"/>
      <c r="W59" s="53"/>
      <c r="X59" s="53"/>
      <c r="Y59" s="52"/>
      <c r="Z59" s="51"/>
      <c r="AA59" s="52"/>
      <c r="AB59" s="51"/>
      <c r="AC59" s="50"/>
      <c r="AD59" s="50"/>
    </row>
    <row r="60" spans="3:30" ht="14.25" customHeight="1">
      <c r="C60" s="61" t="s">
        <v>63</v>
      </c>
      <c r="D60" s="174">
        <f t="shared" si="4"/>
        <v>0</v>
      </c>
      <c r="E60" s="175">
        <f t="shared" si="5"/>
        <v>0</v>
      </c>
      <c r="F60" s="176">
        <f t="shared" si="6"/>
        <v>0</v>
      </c>
      <c r="G60" s="58"/>
      <c r="H60" s="60"/>
      <c r="I60" s="70"/>
      <c r="J60" s="66"/>
      <c r="K60" s="58"/>
      <c r="L60" s="58"/>
      <c r="M60" s="1"/>
      <c r="N60" s="73"/>
      <c r="O60" s="69"/>
      <c r="P60" s="72"/>
      <c r="Q60" s="71"/>
      <c r="R60" s="58"/>
      <c r="S60" s="68"/>
      <c r="T60" s="54"/>
      <c r="U60" s="53"/>
      <c r="V60" s="53"/>
      <c r="W60" s="53"/>
      <c r="X60" s="53"/>
      <c r="Y60" s="52"/>
      <c r="Z60" s="51"/>
      <c r="AA60" s="52"/>
      <c r="AB60" s="51"/>
      <c r="AC60" s="50"/>
      <c r="AD60" s="50"/>
    </row>
    <row r="61" spans="3:30" ht="14.25" customHeight="1">
      <c r="C61" s="67" t="s">
        <v>62</v>
      </c>
      <c r="D61" s="174">
        <f t="shared" si="4"/>
        <v>1</v>
      </c>
      <c r="E61" s="175">
        <f t="shared" si="5"/>
        <v>0</v>
      </c>
      <c r="F61" s="176">
        <f t="shared" si="6"/>
        <v>1</v>
      </c>
      <c r="G61" s="58"/>
      <c r="H61" s="60"/>
      <c r="I61" s="70"/>
      <c r="J61" s="66"/>
      <c r="K61" s="58"/>
      <c r="L61" s="58"/>
      <c r="M61" s="1"/>
      <c r="N61" s="65"/>
      <c r="O61" s="58"/>
      <c r="P61" s="69"/>
      <c r="Q61" s="58"/>
      <c r="R61" s="58"/>
      <c r="S61" s="68"/>
      <c r="T61" s="54"/>
      <c r="U61" s="53"/>
      <c r="V61" s="53"/>
      <c r="W61" s="53"/>
      <c r="X61" s="53"/>
      <c r="Y61" s="52"/>
      <c r="Z61" s="51"/>
      <c r="AA61" s="52"/>
      <c r="AB61" s="51"/>
      <c r="AC61" s="50"/>
      <c r="AD61" s="50"/>
    </row>
    <row r="62" spans="3:30" ht="14.25" customHeight="1">
      <c r="C62" s="67" t="s">
        <v>61</v>
      </c>
      <c r="D62" s="174">
        <f t="shared" si="4"/>
        <v>0</v>
      </c>
      <c r="E62" s="175">
        <f t="shared" si="5"/>
        <v>0</v>
      </c>
      <c r="F62" s="176">
        <f t="shared" si="6"/>
        <v>0</v>
      </c>
      <c r="G62" s="58"/>
      <c r="H62" s="60"/>
      <c r="I62" s="70"/>
      <c r="J62" s="66"/>
      <c r="K62" s="58"/>
      <c r="L62" s="58"/>
      <c r="M62" s="1"/>
      <c r="N62" s="65"/>
      <c r="O62" s="58"/>
      <c r="P62" s="69"/>
      <c r="Q62" s="58"/>
      <c r="R62" s="58"/>
      <c r="S62" s="68"/>
      <c r="T62" s="54"/>
      <c r="U62" s="53"/>
      <c r="V62" s="53"/>
      <c r="W62" s="53"/>
      <c r="X62" s="53"/>
      <c r="Y62" s="52"/>
      <c r="Z62" s="51"/>
      <c r="AA62" s="52"/>
      <c r="AB62" s="51"/>
      <c r="AC62" s="50"/>
      <c r="AD62" s="50"/>
    </row>
    <row r="63" spans="3:30" ht="14.25" customHeight="1">
      <c r="C63" s="67" t="s">
        <v>82</v>
      </c>
      <c r="D63" s="174">
        <f t="shared" si="4"/>
        <v>0</v>
      </c>
      <c r="E63" s="175">
        <f t="shared" si="5"/>
        <v>0</v>
      </c>
      <c r="F63" s="176">
        <f t="shared" si="6"/>
        <v>0</v>
      </c>
      <c r="G63" s="58"/>
      <c r="H63" s="60"/>
      <c r="I63" s="66"/>
      <c r="J63" s="66"/>
      <c r="K63" s="58"/>
      <c r="L63" s="58"/>
      <c r="M63" s="49"/>
      <c r="N63" s="65"/>
      <c r="O63" s="64"/>
      <c r="P63" s="64"/>
      <c r="Q63" s="64"/>
      <c r="R63" s="63"/>
      <c r="S63" s="62"/>
      <c r="T63" s="54"/>
      <c r="U63" s="53"/>
      <c r="V63" s="53"/>
      <c r="W63" s="53"/>
      <c r="X63" s="53"/>
      <c r="Y63" s="52"/>
      <c r="Z63" s="51"/>
      <c r="AA63" s="52"/>
      <c r="AB63" s="51"/>
      <c r="AC63" s="50"/>
      <c r="AD63" s="50"/>
    </row>
    <row r="64" spans="3:30" ht="14.25" customHeight="1">
      <c r="C64" s="61" t="s">
        <v>81</v>
      </c>
      <c r="D64" s="174">
        <f t="shared" si="4"/>
        <v>0</v>
      </c>
      <c r="E64" s="175">
        <f t="shared" si="5"/>
        <v>0</v>
      </c>
      <c r="F64" s="176">
        <f t="shared" si="6"/>
        <v>0</v>
      </c>
      <c r="G64" s="58"/>
      <c r="H64" s="60"/>
      <c r="I64" s="49"/>
      <c r="J64" s="49"/>
      <c r="K64" s="49"/>
      <c r="L64" s="49"/>
      <c r="M64" s="49"/>
      <c r="N64" s="49"/>
      <c r="O64" s="57"/>
      <c r="P64" s="57"/>
      <c r="Q64" s="57"/>
      <c r="R64" s="56"/>
      <c r="S64" s="55"/>
      <c r="T64" s="54"/>
      <c r="U64" s="53"/>
      <c r="V64" s="53"/>
      <c r="W64" s="53"/>
      <c r="X64" s="53"/>
      <c r="Y64" s="52"/>
      <c r="Z64" s="51"/>
      <c r="AA64" s="52"/>
      <c r="AB64" s="51"/>
      <c r="AC64" s="50"/>
      <c r="AD64" s="50"/>
    </row>
    <row r="65" spans="1:30" ht="14.25" customHeight="1">
      <c r="C65" s="61" t="s">
        <v>80</v>
      </c>
      <c r="D65" s="174">
        <f t="shared" si="4"/>
        <v>0</v>
      </c>
      <c r="E65" s="175">
        <f t="shared" si="5"/>
        <v>0</v>
      </c>
      <c r="F65" s="176">
        <f t="shared" si="6"/>
        <v>0</v>
      </c>
      <c r="G65" s="58"/>
      <c r="H65" s="60"/>
      <c r="I65" s="49"/>
      <c r="J65" s="49"/>
      <c r="K65" s="49"/>
      <c r="L65" s="49"/>
      <c r="M65" s="49"/>
      <c r="N65" s="49"/>
      <c r="O65" s="57"/>
      <c r="P65" s="57"/>
      <c r="Q65" s="57"/>
      <c r="R65" s="56"/>
      <c r="S65" s="55"/>
      <c r="T65" s="54"/>
      <c r="U65" s="53"/>
      <c r="V65" s="53"/>
      <c r="W65" s="53"/>
      <c r="X65" s="53"/>
      <c r="Y65" s="52"/>
      <c r="Z65" s="51"/>
      <c r="AA65" s="52"/>
      <c r="AB65" s="51"/>
      <c r="AC65" s="50"/>
      <c r="AD65" s="50"/>
    </row>
    <row r="66" spans="1:30" ht="14.25" customHeight="1">
      <c r="C66" s="61" t="s">
        <v>79</v>
      </c>
      <c r="D66" s="174">
        <f t="shared" si="4"/>
        <v>0</v>
      </c>
      <c r="E66" s="175">
        <f t="shared" si="5"/>
        <v>0</v>
      </c>
      <c r="F66" s="176">
        <f t="shared" si="6"/>
        <v>0</v>
      </c>
      <c r="G66" s="58"/>
      <c r="H66" s="60"/>
      <c r="I66" s="49"/>
      <c r="J66" s="49"/>
      <c r="K66" s="49"/>
      <c r="L66" s="49"/>
      <c r="M66" s="49"/>
      <c r="N66" s="49"/>
      <c r="O66" s="57"/>
      <c r="P66" s="57"/>
      <c r="Q66" s="57"/>
      <c r="R66" s="56"/>
      <c r="S66" s="55"/>
      <c r="T66" s="54"/>
      <c r="U66" s="53"/>
      <c r="V66" s="53"/>
      <c r="W66" s="53"/>
      <c r="X66" s="53"/>
      <c r="Y66" s="52"/>
      <c r="Z66" s="51"/>
      <c r="AA66" s="52"/>
      <c r="AB66" s="51"/>
      <c r="AC66" s="50"/>
      <c r="AD66" s="50"/>
    </row>
    <row r="67" spans="1:30" ht="14.25" customHeight="1">
      <c r="C67" s="61" t="s">
        <v>56</v>
      </c>
      <c r="D67" s="174">
        <f t="shared" si="4"/>
        <v>0</v>
      </c>
      <c r="E67" s="175">
        <f t="shared" si="5"/>
        <v>0</v>
      </c>
      <c r="F67" s="176">
        <f t="shared" si="6"/>
        <v>0</v>
      </c>
      <c r="G67" s="58"/>
      <c r="H67" s="60"/>
      <c r="I67" s="49"/>
      <c r="J67" s="49"/>
      <c r="K67" s="49"/>
      <c r="L67" s="49"/>
      <c r="M67" s="49"/>
      <c r="N67" s="49"/>
      <c r="O67" s="57"/>
      <c r="P67" s="57"/>
      <c r="Q67" s="57"/>
      <c r="R67" s="56"/>
      <c r="S67" s="55"/>
      <c r="T67" s="54"/>
      <c r="U67" s="53"/>
      <c r="V67" s="53"/>
      <c r="W67" s="53"/>
      <c r="X67" s="53"/>
      <c r="Y67" s="52"/>
      <c r="Z67" s="51"/>
      <c r="AA67" s="52"/>
      <c r="AB67" s="51"/>
      <c r="AC67" s="50"/>
      <c r="AD67" s="50"/>
    </row>
    <row r="68" spans="1:30" ht="14.25" customHeight="1">
      <c r="C68" s="61" t="s">
        <v>78</v>
      </c>
      <c r="D68" s="174">
        <f t="shared" si="4"/>
        <v>0</v>
      </c>
      <c r="E68" s="175">
        <f t="shared" si="5"/>
        <v>0</v>
      </c>
      <c r="F68" s="176">
        <f t="shared" si="6"/>
        <v>0</v>
      </c>
      <c r="G68" s="58"/>
      <c r="H68" s="60"/>
      <c r="I68" s="49"/>
      <c r="J68" s="49"/>
      <c r="K68" s="49"/>
      <c r="L68" s="49"/>
      <c r="M68" s="49"/>
      <c r="N68" s="49"/>
      <c r="O68" s="57"/>
      <c r="P68" s="57"/>
      <c r="Q68" s="57"/>
      <c r="R68" s="56"/>
      <c r="S68" s="55"/>
      <c r="T68" s="54"/>
      <c r="U68" s="53"/>
      <c r="V68" s="53"/>
      <c r="W68" s="53"/>
      <c r="X68" s="53"/>
      <c r="Y68" s="52"/>
      <c r="Z68" s="51"/>
      <c r="AA68" s="52"/>
      <c r="AB68" s="51"/>
      <c r="AC68" s="50"/>
      <c r="AD68" s="50"/>
    </row>
    <row r="69" spans="1:30" ht="14.25" customHeight="1">
      <c r="C69" s="61" t="s">
        <v>77</v>
      </c>
      <c r="D69" s="174">
        <f t="shared" si="4"/>
        <v>2</v>
      </c>
      <c r="E69" s="175">
        <f t="shared" si="5"/>
        <v>0</v>
      </c>
      <c r="F69" s="176">
        <f t="shared" si="6"/>
        <v>2</v>
      </c>
      <c r="G69" s="58"/>
      <c r="H69" s="60"/>
      <c r="I69" s="49"/>
      <c r="J69" s="49"/>
      <c r="K69" s="49"/>
      <c r="L69" s="49"/>
      <c r="M69" s="49"/>
      <c r="N69" s="49"/>
      <c r="O69" s="57"/>
      <c r="P69" s="57"/>
      <c r="Q69" s="57"/>
      <c r="R69" s="56"/>
      <c r="S69" s="55"/>
      <c r="T69" s="54"/>
      <c r="U69" s="53"/>
      <c r="V69" s="53"/>
      <c r="W69" s="53"/>
      <c r="X69" s="53"/>
      <c r="Y69" s="52"/>
      <c r="Z69" s="51"/>
      <c r="AA69" s="52"/>
      <c r="AB69" s="51"/>
      <c r="AC69" s="50"/>
      <c r="AD69" s="50"/>
    </row>
    <row r="70" spans="1:30" ht="14.25" customHeight="1">
      <c r="C70" s="59" t="s">
        <v>0</v>
      </c>
      <c r="D70" s="176">
        <f>SUM(D50:D69)</f>
        <v>36</v>
      </c>
      <c r="E70" s="176">
        <f>SUBTOTAL(9,E50:E69)</f>
        <v>0</v>
      </c>
      <c r="F70" s="176">
        <f t="shared" si="6"/>
        <v>36</v>
      </c>
      <c r="G70" s="58"/>
      <c r="H70" s="58"/>
      <c r="I70" s="49"/>
      <c r="J70" s="49"/>
      <c r="K70" s="49"/>
      <c r="L70" s="49"/>
      <c r="M70" s="49"/>
      <c r="N70" s="49"/>
      <c r="O70" s="57"/>
      <c r="P70" s="57"/>
      <c r="Q70" s="57"/>
      <c r="R70" s="56"/>
      <c r="S70" s="55"/>
      <c r="T70" s="54"/>
      <c r="U70" s="53"/>
      <c r="V70" s="53"/>
      <c r="W70" s="53"/>
      <c r="X70" s="53"/>
      <c r="Y70" s="52"/>
      <c r="Z70" s="51"/>
      <c r="AA70" s="52"/>
      <c r="AB70" s="51"/>
      <c r="AC70" s="50"/>
      <c r="AD70" s="50"/>
    </row>
    <row r="71" spans="1:30" ht="14.25" customHeight="1">
      <c r="C71" s="25"/>
      <c r="D71" s="177"/>
      <c r="E71" s="178"/>
      <c r="F71" s="179"/>
      <c r="G71" s="49"/>
      <c r="H71" s="49"/>
      <c r="I71" s="49"/>
      <c r="J71" s="49"/>
      <c r="K71" s="49"/>
      <c r="L71" s="49"/>
      <c r="M71" s="49"/>
      <c r="N71" s="49"/>
      <c r="O71" s="57"/>
      <c r="P71" s="57"/>
      <c r="Q71" s="57"/>
      <c r="R71" s="56"/>
      <c r="S71" s="55"/>
      <c r="T71" s="54"/>
      <c r="U71" s="53"/>
      <c r="V71" s="53"/>
      <c r="W71" s="53"/>
      <c r="X71" s="53"/>
      <c r="Y71" s="52"/>
      <c r="Z71" s="51"/>
      <c r="AA71" s="52"/>
      <c r="AB71" s="51"/>
      <c r="AC71" s="50"/>
      <c r="AD71" s="50"/>
    </row>
    <row r="72" spans="1:30" ht="13.9" hidden="1" customHeight="1">
      <c r="C72" s="32"/>
      <c r="D72" s="180"/>
      <c r="E72" s="178"/>
      <c r="F72" s="179"/>
      <c r="G72" s="49"/>
      <c r="H72" s="49"/>
      <c r="I72" s="49"/>
      <c r="J72" s="49"/>
      <c r="K72" s="49"/>
      <c r="L72" s="49"/>
      <c r="M72" s="33"/>
      <c r="N72" s="1"/>
      <c r="O72" s="1"/>
      <c r="P72" s="1"/>
      <c r="Q72" s="1"/>
      <c r="R72" s="1"/>
      <c r="S72" s="27"/>
      <c r="T72" s="2"/>
      <c r="U72" s="48"/>
      <c r="V72" s="48"/>
      <c r="W72" s="48"/>
      <c r="X72" s="48"/>
      <c r="Y72" s="5"/>
      <c r="AA72" s="3"/>
    </row>
    <row r="73" spans="1:30" ht="13.9" hidden="1" customHeight="1">
      <c r="A73" s="1"/>
      <c r="B73" s="31"/>
      <c r="C73" s="12" t="s">
        <v>76</v>
      </c>
      <c r="D73" s="181" t="s">
        <v>74</v>
      </c>
      <c r="E73" s="182" t="s">
        <v>12</v>
      </c>
      <c r="F73" s="183"/>
      <c r="G73" s="33"/>
      <c r="H73" s="33"/>
      <c r="I73" s="33"/>
      <c r="J73" s="32"/>
      <c r="K73" s="32"/>
      <c r="L73" s="32"/>
      <c r="M73" s="31"/>
      <c r="N73" s="1"/>
      <c r="O73" s="1"/>
      <c r="P73" s="1"/>
      <c r="Q73" s="1"/>
      <c r="R73" s="1"/>
      <c r="S73" s="27"/>
      <c r="T73" s="2"/>
      <c r="U73" s="48"/>
      <c r="V73" s="48"/>
      <c r="W73" s="48"/>
      <c r="X73" s="48"/>
      <c r="Y73" s="5"/>
      <c r="AA73" s="3"/>
    </row>
    <row r="74" spans="1:30" ht="13.9" hidden="1" customHeight="1">
      <c r="C74" s="40" t="s">
        <v>73</v>
      </c>
      <c r="D74" s="10">
        <f>COUNTIF(N4:N44,"alagamentos")</f>
        <v>5</v>
      </c>
      <c r="E74" s="184">
        <f>D74/D94</f>
        <v>0.1388888888888889</v>
      </c>
      <c r="F74" s="180"/>
      <c r="G74" s="32"/>
      <c r="H74" s="32"/>
      <c r="I74" s="32"/>
      <c r="J74" s="31"/>
      <c r="K74" s="31"/>
      <c r="L74" s="31"/>
      <c r="M74" s="29"/>
      <c r="N74" s="1"/>
      <c r="O74" s="1"/>
      <c r="P74" s="1"/>
      <c r="Q74" s="1"/>
      <c r="R74" s="1"/>
      <c r="S74" s="27"/>
      <c r="T74" s="2"/>
      <c r="Y74" s="5"/>
      <c r="AA74" s="3"/>
    </row>
    <row r="75" spans="1:30" ht="13.9" hidden="1" customHeight="1">
      <c r="C75" s="40" t="s">
        <v>72</v>
      </c>
      <c r="D75" s="10">
        <f>COUNTIF(N4:N44,"chuvas intensas")</f>
        <v>18</v>
      </c>
      <c r="E75" s="184">
        <f>D75/D94</f>
        <v>0.5</v>
      </c>
      <c r="F75" s="180"/>
      <c r="G75" s="32"/>
      <c r="H75" s="32"/>
      <c r="I75" s="32"/>
      <c r="J75" s="31"/>
      <c r="K75" s="31"/>
      <c r="L75" s="31"/>
      <c r="M75" s="29"/>
      <c r="N75" s="1"/>
      <c r="O75" s="1"/>
      <c r="P75" s="1"/>
      <c r="Q75" s="1"/>
      <c r="R75" s="1"/>
      <c r="S75" s="27"/>
      <c r="T75" s="2"/>
      <c r="Y75" s="5"/>
      <c r="AA75" s="3"/>
    </row>
    <row r="76" spans="1:30" ht="13.9" hidden="1" customHeight="1">
      <c r="C76" s="40" t="s">
        <v>71</v>
      </c>
      <c r="D76" s="10">
        <f>COUNTIF(N4:N45,"colapso de edificações")</f>
        <v>0</v>
      </c>
      <c r="E76" s="184">
        <f>D76/D94</f>
        <v>0</v>
      </c>
      <c r="F76" s="180"/>
      <c r="G76" s="32"/>
      <c r="H76" s="32"/>
      <c r="I76" s="32"/>
      <c r="J76" s="31"/>
      <c r="K76" s="31"/>
      <c r="L76" s="31"/>
      <c r="M76" s="29"/>
      <c r="N76" s="1"/>
      <c r="O76" s="1"/>
      <c r="P76" s="1"/>
      <c r="Q76" s="1"/>
      <c r="R76" s="1"/>
      <c r="S76" s="27"/>
      <c r="T76" s="2"/>
      <c r="Y76" s="5"/>
      <c r="AA76" s="3"/>
    </row>
    <row r="77" spans="1:30" ht="13.9" hidden="1" customHeight="1">
      <c r="C77" s="40" t="s">
        <v>70</v>
      </c>
      <c r="D77" s="10">
        <f>COUNTIF(N4:N44,"Deslizamentos")</f>
        <v>0</v>
      </c>
      <c r="E77" s="184">
        <f>D77/D94</f>
        <v>0</v>
      </c>
      <c r="F77" s="180"/>
      <c r="G77" s="32"/>
      <c r="H77" s="32"/>
      <c r="I77" s="32"/>
      <c r="J77" s="29"/>
      <c r="K77" s="29"/>
      <c r="L77" s="29"/>
      <c r="M77" s="29"/>
      <c r="N77" s="1"/>
      <c r="O77" s="1"/>
      <c r="P77" s="1"/>
      <c r="Q77" s="1"/>
      <c r="R77" s="1"/>
      <c r="S77" s="27"/>
      <c r="T77" s="2"/>
      <c r="Y77" s="5"/>
      <c r="AA77" s="3"/>
    </row>
    <row r="78" spans="1:30" ht="13.9" hidden="1" customHeight="1">
      <c r="C78" s="40" t="s">
        <v>69</v>
      </c>
      <c r="D78" s="10">
        <f>COUNTIF(N4:N44,"Erosão Cost")</f>
        <v>1</v>
      </c>
      <c r="E78" s="184">
        <f>D78/D94</f>
        <v>2.7777777777777776E-2</v>
      </c>
      <c r="F78" s="180"/>
      <c r="G78" s="32"/>
      <c r="H78" s="32"/>
      <c r="I78" s="32"/>
      <c r="J78" s="29"/>
      <c r="K78" s="29"/>
      <c r="L78" s="29"/>
      <c r="M78" s="29"/>
      <c r="N78" s="1"/>
      <c r="O78" s="1"/>
      <c r="P78" s="1"/>
      <c r="Q78" s="1"/>
      <c r="R78" s="1"/>
      <c r="S78" s="27"/>
      <c r="T78" s="2"/>
      <c r="Y78" s="5"/>
      <c r="AA78" s="3"/>
    </row>
    <row r="79" spans="1:30" ht="13.9" hidden="1" customHeight="1">
      <c r="C79" s="13" t="s">
        <v>68</v>
      </c>
      <c r="D79" s="10">
        <f>COUNTIF(N4:N44,"Erosão M Fluv")</f>
        <v>0</v>
      </c>
      <c r="E79" s="184">
        <f>D79/D94</f>
        <v>0</v>
      </c>
      <c r="F79" s="185"/>
      <c r="G79" s="29"/>
      <c r="H79" s="29"/>
      <c r="I79" s="29"/>
      <c r="J79" s="29"/>
      <c r="K79" s="29"/>
      <c r="L79" s="29"/>
      <c r="M79" s="29"/>
      <c r="N79" s="1"/>
      <c r="O79" s="1"/>
      <c r="P79" s="1"/>
      <c r="Q79" s="1"/>
      <c r="R79" s="1"/>
      <c r="S79" s="27"/>
      <c r="T79" s="2"/>
      <c r="Y79" s="5"/>
      <c r="AA79" s="3"/>
    </row>
    <row r="80" spans="1:30" ht="13.9" hidden="1" customHeight="1">
      <c r="C80" s="13" t="s">
        <v>67</v>
      </c>
      <c r="D80" s="10">
        <f>COUNTIF(N4:N44,"Enchentes")</f>
        <v>0</v>
      </c>
      <c r="E80" s="184">
        <f>D80/D94</f>
        <v>0</v>
      </c>
      <c r="F80" s="185"/>
      <c r="G80" s="29"/>
      <c r="H80" s="29"/>
      <c r="I80" s="29"/>
      <c r="J80" s="29"/>
      <c r="K80" s="29"/>
      <c r="L80" s="29"/>
      <c r="M80" s="29"/>
      <c r="N80" s="1"/>
      <c r="O80" s="1"/>
      <c r="P80" s="1"/>
      <c r="Q80" s="1"/>
      <c r="R80" s="1"/>
      <c r="S80" s="27"/>
      <c r="T80" s="2"/>
      <c r="Y80" s="5"/>
      <c r="AA80" s="3"/>
    </row>
    <row r="81" spans="1:27" ht="13.9" hidden="1" customHeight="1">
      <c r="C81" s="40" t="s">
        <v>66</v>
      </c>
      <c r="D81" s="10">
        <f>COUNTIF(N4:N44,"Enxurradas")</f>
        <v>8</v>
      </c>
      <c r="E81" s="184">
        <f>D81/D94</f>
        <v>0.22222222222222221</v>
      </c>
      <c r="F81" s="180"/>
      <c r="G81" s="32"/>
      <c r="H81" s="32"/>
      <c r="I81" s="32"/>
      <c r="J81" s="29"/>
      <c r="K81" s="29"/>
      <c r="L81" s="29"/>
      <c r="M81" s="29"/>
      <c r="N81" s="1"/>
      <c r="O81" s="1"/>
      <c r="P81" s="1"/>
      <c r="Q81" s="1"/>
      <c r="R81" s="1"/>
      <c r="S81" s="27"/>
      <c r="T81" s="2"/>
      <c r="Y81" s="5"/>
      <c r="AA81" s="3"/>
    </row>
    <row r="82" spans="1:27" ht="13.9" hidden="1" customHeight="1">
      <c r="C82" s="40" t="s">
        <v>65</v>
      </c>
      <c r="D82" s="10">
        <f>COUNTIF(N4:N44,"Estiagem")</f>
        <v>1</v>
      </c>
      <c r="E82" s="184">
        <f>D82/D94</f>
        <v>2.7777777777777776E-2</v>
      </c>
      <c r="F82" s="185"/>
      <c r="G82" s="29"/>
      <c r="H82" s="29"/>
      <c r="I82" s="29"/>
      <c r="J82" s="29"/>
      <c r="K82" s="29"/>
      <c r="L82" s="29"/>
      <c r="M82" s="29"/>
      <c r="N82" s="1"/>
      <c r="O82" s="1"/>
      <c r="P82" s="1"/>
      <c r="Q82" s="1"/>
      <c r="R82" s="1"/>
      <c r="S82" s="27"/>
      <c r="T82" s="2"/>
      <c r="Y82" s="5"/>
      <c r="AA82" s="3"/>
    </row>
    <row r="83" spans="1:27" ht="13.9" hidden="1" customHeight="1">
      <c r="C83" s="40" t="s">
        <v>64</v>
      </c>
      <c r="D83" s="10">
        <f>COUNTIF(N4:N45,"friagem")</f>
        <v>0</v>
      </c>
      <c r="E83" s="184">
        <f>D83/D94</f>
        <v>0</v>
      </c>
      <c r="F83" s="185"/>
      <c r="G83" s="29"/>
      <c r="H83" s="29"/>
      <c r="I83" s="29"/>
      <c r="J83" s="29"/>
      <c r="K83" s="29"/>
      <c r="L83" s="29"/>
      <c r="M83" s="29"/>
      <c r="N83" s="1"/>
      <c r="O83" s="1"/>
      <c r="P83" s="1"/>
      <c r="Q83" s="1"/>
      <c r="R83" s="1"/>
      <c r="S83" s="27"/>
      <c r="T83" s="2"/>
      <c r="Y83" s="5"/>
      <c r="AA83" s="3"/>
    </row>
    <row r="84" spans="1:27" ht="13.9" hidden="1" customHeight="1">
      <c r="C84" s="40" t="s">
        <v>63</v>
      </c>
      <c r="D84" s="10">
        <f>COUNTIF(N4:N46,"geadas")</f>
        <v>0</v>
      </c>
      <c r="E84" s="184">
        <f>D84/D94</f>
        <v>0</v>
      </c>
      <c r="F84" s="185"/>
      <c r="G84" s="29"/>
      <c r="H84" s="29"/>
      <c r="I84" s="29"/>
      <c r="J84" s="29"/>
      <c r="K84" s="29"/>
      <c r="L84" s="29"/>
      <c r="M84" s="29"/>
      <c r="N84" s="1"/>
      <c r="O84" s="1"/>
      <c r="P84" s="1"/>
      <c r="Q84" s="1"/>
      <c r="R84" s="1"/>
      <c r="S84" s="27"/>
      <c r="T84" s="2"/>
      <c r="Y84" s="5"/>
      <c r="AA84" s="3"/>
    </row>
    <row r="85" spans="1:27" ht="13.9" hidden="1" customHeight="1">
      <c r="C85" s="40" t="s">
        <v>62</v>
      </c>
      <c r="D85" s="10">
        <f>COUNTIF(N4:N44,"Granizo")</f>
        <v>1</v>
      </c>
      <c r="E85" s="184">
        <f>D85/D94</f>
        <v>2.7777777777777776E-2</v>
      </c>
      <c r="F85" s="180"/>
      <c r="G85" s="32"/>
      <c r="H85" s="32"/>
      <c r="I85" s="32"/>
      <c r="J85" s="29"/>
      <c r="K85" s="29"/>
      <c r="L85" s="29"/>
      <c r="M85" s="32"/>
      <c r="N85" s="1"/>
      <c r="O85" s="1"/>
      <c r="P85" s="1"/>
      <c r="Q85" s="1"/>
      <c r="R85" s="1"/>
      <c r="S85" s="27"/>
      <c r="T85" s="2"/>
      <c r="Y85" s="5"/>
      <c r="AA85" s="26"/>
    </row>
    <row r="86" spans="1:27" ht="13.9" hidden="1" customHeight="1">
      <c r="C86" s="40" t="s">
        <v>61</v>
      </c>
      <c r="D86" s="10">
        <f>COUNTIF(N4:N45,"Incêndios Aglom Resid")</f>
        <v>0</v>
      </c>
      <c r="E86" s="184">
        <f>D86/D94</f>
        <v>0</v>
      </c>
      <c r="F86" s="180"/>
      <c r="G86" s="32"/>
      <c r="H86" s="32"/>
      <c r="I86" s="32"/>
      <c r="J86" s="29"/>
      <c r="K86" s="29"/>
      <c r="L86" s="29"/>
      <c r="M86" s="32"/>
      <c r="N86" s="1"/>
      <c r="O86" s="1"/>
      <c r="P86" s="1"/>
      <c r="Q86" s="1"/>
      <c r="R86" s="1"/>
      <c r="S86" s="27"/>
      <c r="T86" s="2"/>
      <c r="Y86" s="5"/>
      <c r="AA86" s="26"/>
    </row>
    <row r="87" spans="1:27" ht="13.9" hidden="1" customHeight="1">
      <c r="C87" s="40" t="s">
        <v>60</v>
      </c>
      <c r="D87" s="10">
        <f>COUNTIF(N4:N44,"inundação")</f>
        <v>0</v>
      </c>
      <c r="E87" s="184">
        <f>D87/D94</f>
        <v>0</v>
      </c>
      <c r="F87" s="180"/>
      <c r="G87" s="32"/>
      <c r="H87" s="32"/>
      <c r="I87" s="32"/>
      <c r="J87" s="29"/>
      <c r="K87" s="29"/>
      <c r="L87" s="29"/>
      <c r="M87" s="32"/>
      <c r="N87" s="1"/>
      <c r="O87" s="1"/>
      <c r="P87" s="1"/>
      <c r="Q87" s="1"/>
      <c r="R87" s="1"/>
      <c r="S87" s="27"/>
      <c r="T87" s="2"/>
      <c r="Y87" s="5"/>
      <c r="AA87" s="26"/>
    </row>
    <row r="88" spans="1:27" ht="13.9" hidden="1" customHeight="1">
      <c r="C88" s="40" t="s">
        <v>59</v>
      </c>
      <c r="D88" s="10">
        <f>COUNTIF(N4:N44,"Lib. Química")</f>
        <v>0</v>
      </c>
      <c r="E88" s="184">
        <f>D88/D94</f>
        <v>0</v>
      </c>
      <c r="F88" s="180"/>
      <c r="G88" s="32"/>
      <c r="H88" s="32"/>
      <c r="I88" s="32"/>
      <c r="J88" s="29"/>
      <c r="K88" s="29"/>
      <c r="L88" s="29"/>
      <c r="M88" s="32"/>
      <c r="N88" s="1"/>
      <c r="O88" s="1"/>
      <c r="P88" s="1"/>
      <c r="Q88" s="1"/>
      <c r="R88" s="1"/>
      <c r="S88" s="27"/>
      <c r="T88" s="2"/>
      <c r="Y88" s="5"/>
      <c r="AA88" s="26"/>
    </row>
    <row r="89" spans="1:27" ht="13.5" hidden="1" customHeight="1">
      <c r="C89" s="13" t="s">
        <v>58</v>
      </c>
      <c r="D89" s="10">
        <f>COUNTIF(N4:N44,"Mov massa")</f>
        <v>0</v>
      </c>
      <c r="E89" s="184">
        <f>D89/D94</f>
        <v>0</v>
      </c>
      <c r="F89" s="185"/>
      <c r="G89" s="29"/>
      <c r="H89" s="29"/>
      <c r="I89" s="29"/>
      <c r="J89" s="32"/>
      <c r="K89" s="32"/>
      <c r="L89" s="32"/>
      <c r="M89" s="32"/>
      <c r="N89" s="1"/>
      <c r="O89" s="1"/>
      <c r="P89" s="1"/>
      <c r="Q89" s="1"/>
      <c r="R89" s="1"/>
      <c r="S89" s="27"/>
      <c r="T89" s="2"/>
      <c r="Y89" s="5"/>
      <c r="AA89" s="3"/>
    </row>
    <row r="90" spans="1:27" ht="13.5" hidden="1" customHeight="1">
      <c r="C90" s="13" t="s">
        <v>57</v>
      </c>
      <c r="D90" s="10">
        <f>COUNTIF(N4:N44,"onda de calor")</f>
        <v>0</v>
      </c>
      <c r="E90" s="184">
        <f>D90/D94</f>
        <v>0</v>
      </c>
      <c r="F90" s="185"/>
      <c r="G90" s="29"/>
      <c r="H90" s="29"/>
      <c r="I90" s="29"/>
      <c r="J90" s="32"/>
      <c r="K90" s="32"/>
      <c r="L90" s="32"/>
      <c r="M90" s="32"/>
      <c r="N90" s="1"/>
      <c r="O90" s="1"/>
      <c r="P90" s="1"/>
      <c r="Q90" s="1"/>
      <c r="R90" s="1"/>
      <c r="S90" s="27"/>
      <c r="T90" s="2"/>
      <c r="Y90" s="5"/>
      <c r="AA90" s="3"/>
    </row>
    <row r="91" spans="1:27" ht="13.9" hidden="1" customHeight="1">
      <c r="C91" s="13" t="s">
        <v>56</v>
      </c>
      <c r="D91" s="10">
        <f>COUNTIF(N4:N47,"Ressacas")</f>
        <v>0</v>
      </c>
      <c r="E91" s="184">
        <f>D91/D94</f>
        <v>0</v>
      </c>
      <c r="F91" s="180"/>
      <c r="G91" s="32"/>
      <c r="H91" s="32"/>
      <c r="I91" s="32"/>
      <c r="J91" s="32"/>
      <c r="K91" s="32"/>
      <c r="L91" s="32"/>
      <c r="M91" s="32"/>
      <c r="N91" s="1"/>
      <c r="O91" s="1"/>
      <c r="P91" s="1"/>
      <c r="Q91" s="1"/>
      <c r="R91" s="1"/>
      <c r="S91" s="27"/>
      <c r="T91" s="2"/>
      <c r="Y91" s="5"/>
      <c r="AA91" s="3"/>
    </row>
    <row r="92" spans="1:27" ht="13.9" hidden="1" customHeight="1">
      <c r="C92" s="13" t="s">
        <v>55</v>
      </c>
      <c r="D92" s="10">
        <f>COUNTIF(N4:N48,"Tornado")</f>
        <v>0</v>
      </c>
      <c r="E92" s="184">
        <f>D92/D94</f>
        <v>0</v>
      </c>
      <c r="F92" s="186"/>
      <c r="G92" s="31"/>
      <c r="H92" s="31"/>
      <c r="I92" s="31"/>
      <c r="J92" s="32"/>
      <c r="K92" s="32"/>
      <c r="L92" s="32"/>
      <c r="M92" s="32"/>
      <c r="N92" s="8"/>
      <c r="P92" s="3"/>
      <c r="R92" s="1"/>
      <c r="S92" s="27"/>
      <c r="T92" s="2"/>
      <c r="Y92" s="5"/>
      <c r="AA92" s="3"/>
    </row>
    <row r="93" spans="1:27" ht="13.9" hidden="1" customHeight="1">
      <c r="C93" s="40" t="s">
        <v>54</v>
      </c>
      <c r="D93" s="10">
        <f>COUNTIF(N4:N49,"Vendaval")</f>
        <v>2</v>
      </c>
      <c r="E93" s="184">
        <f>D93/D94</f>
        <v>5.5555555555555552E-2</v>
      </c>
      <c r="F93" s="185"/>
      <c r="G93" s="29"/>
      <c r="H93" s="29"/>
      <c r="I93" s="29"/>
      <c r="J93" s="32"/>
      <c r="K93" s="32"/>
      <c r="L93" s="32"/>
      <c r="M93" s="32"/>
      <c r="N93" s="8"/>
      <c r="P93" s="3"/>
      <c r="R93" s="1"/>
      <c r="S93" s="27"/>
      <c r="T93" s="2"/>
      <c r="Y93" s="5"/>
      <c r="AA93" s="3"/>
    </row>
    <row r="94" spans="1:27" ht="13.9" hidden="1" customHeight="1">
      <c r="A94" s="25"/>
      <c r="B94" s="25"/>
      <c r="C94" s="39" t="s">
        <v>53</v>
      </c>
      <c r="D94" s="187">
        <f>SUM(D74:D93)</f>
        <v>36</v>
      </c>
      <c r="E94" s="188">
        <f>SUM(E74:E93)</f>
        <v>1</v>
      </c>
      <c r="F94" s="185"/>
      <c r="G94" s="29"/>
      <c r="H94" s="29"/>
      <c r="I94" s="29"/>
      <c r="J94" s="32"/>
      <c r="K94" s="32"/>
      <c r="L94" s="32"/>
      <c r="M94" s="32"/>
      <c r="N94" s="8"/>
      <c r="P94" s="3"/>
      <c r="R94" s="1"/>
      <c r="S94" s="27"/>
      <c r="T94" s="2"/>
      <c r="Y94" s="5"/>
      <c r="AA94" s="3"/>
    </row>
    <row r="95" spans="1:27" ht="13.9" hidden="1" customHeight="1">
      <c r="A95" s="25"/>
      <c r="B95" s="25"/>
      <c r="C95" s="36"/>
      <c r="D95" s="177"/>
      <c r="E95" s="185"/>
      <c r="F95" s="185"/>
      <c r="G95" s="29"/>
      <c r="H95" s="29"/>
      <c r="I95" s="29"/>
      <c r="J95" s="32"/>
      <c r="K95" s="32"/>
      <c r="L95" s="32"/>
      <c r="M95" s="32"/>
      <c r="N95" s="8"/>
      <c r="P95" s="3"/>
      <c r="R95" s="1"/>
      <c r="S95" s="27"/>
      <c r="T95" s="2"/>
      <c r="Y95" s="5"/>
      <c r="AA95" s="3"/>
    </row>
    <row r="96" spans="1:27" ht="13.9" hidden="1" customHeight="1">
      <c r="A96" s="25"/>
      <c r="B96" s="25"/>
      <c r="C96" s="12" t="s">
        <v>75</v>
      </c>
      <c r="D96" s="181" t="s">
        <v>74</v>
      </c>
      <c r="E96" s="182" t="s">
        <v>12</v>
      </c>
      <c r="F96" s="185"/>
      <c r="G96" s="29"/>
      <c r="H96" s="29"/>
      <c r="I96" s="29"/>
      <c r="J96" s="32"/>
      <c r="K96" s="32"/>
      <c r="L96" s="32"/>
      <c r="M96" s="32"/>
      <c r="N96" s="8"/>
      <c r="P96" s="3"/>
      <c r="R96" s="1"/>
      <c r="S96" s="27"/>
      <c r="T96" s="2"/>
      <c r="Y96" s="5"/>
      <c r="AA96" s="3"/>
    </row>
    <row r="97" spans="1:27" ht="13.9" hidden="1" customHeight="1">
      <c r="A97" s="25"/>
      <c r="B97" s="25"/>
      <c r="C97" s="40" t="s">
        <v>73</v>
      </c>
      <c r="D97" s="10">
        <f>COUNTIF(N4:N55,"alagamentos ECP")</f>
        <v>0</v>
      </c>
      <c r="E97" s="184" t="e">
        <f>D97/D117</f>
        <v>#DIV/0!</v>
      </c>
      <c r="F97" s="185"/>
      <c r="G97" s="29"/>
      <c r="H97" s="29"/>
      <c r="I97" s="29"/>
      <c r="J97" s="32"/>
      <c r="K97" s="32"/>
      <c r="L97" s="32"/>
      <c r="M97" s="32"/>
      <c r="N97" s="8"/>
      <c r="P97" s="3"/>
      <c r="R97" s="1"/>
      <c r="S97" s="27"/>
      <c r="T97" s="2"/>
      <c r="Y97" s="5"/>
      <c r="AA97" s="3"/>
    </row>
    <row r="98" spans="1:27" ht="13.9" hidden="1" customHeight="1">
      <c r="A98" s="25"/>
      <c r="B98" s="25"/>
      <c r="C98" s="40" t="s">
        <v>72</v>
      </c>
      <c r="D98" s="10">
        <f>COUNTIF(N4:N63,"chuvas intensas ECP")</f>
        <v>0</v>
      </c>
      <c r="E98" s="184" t="e">
        <f>D98/D117</f>
        <v>#DIV/0!</v>
      </c>
      <c r="F98" s="185"/>
      <c r="G98" s="29"/>
      <c r="H98" s="29"/>
      <c r="I98" s="29"/>
      <c r="J98" s="32"/>
      <c r="K98" s="32"/>
      <c r="L98" s="32"/>
      <c r="M98" s="32"/>
      <c r="N98" s="8"/>
      <c r="P98" s="3"/>
      <c r="R98" s="1"/>
      <c r="S98" s="27"/>
      <c r="T98" s="2"/>
      <c r="Y98" s="5"/>
      <c r="AA98" s="3"/>
    </row>
    <row r="99" spans="1:27" ht="13.9" hidden="1" customHeight="1">
      <c r="A99" s="25"/>
      <c r="B99" s="25"/>
      <c r="C99" s="40" t="s">
        <v>71</v>
      </c>
      <c r="D99" s="10">
        <f>COUNTIF(N17:N68,"colapso de edificações")</f>
        <v>0</v>
      </c>
      <c r="E99" s="184" t="e">
        <f>D99/D117</f>
        <v>#DIV/0!</v>
      </c>
      <c r="F99" s="185"/>
      <c r="G99" s="29"/>
      <c r="H99" s="29"/>
      <c r="I99" s="29"/>
      <c r="J99" s="32"/>
      <c r="K99" s="32"/>
      <c r="L99" s="32"/>
      <c r="M99" s="32"/>
      <c r="N99" s="8"/>
      <c r="P99" s="3"/>
      <c r="R99" s="1"/>
      <c r="S99" s="27"/>
      <c r="T99" s="2"/>
      <c r="Y99" s="5"/>
      <c r="AA99" s="3"/>
    </row>
    <row r="100" spans="1:27" ht="13.9" hidden="1" customHeight="1">
      <c r="A100" s="25"/>
      <c r="B100" s="25"/>
      <c r="C100" s="40" t="s">
        <v>70</v>
      </c>
      <c r="D100" s="10">
        <f>COUNTIF(N4:N63,"Deslizamentos ECP")</f>
        <v>0</v>
      </c>
      <c r="E100" s="184" t="e">
        <f>D100/D117</f>
        <v>#DIV/0!</v>
      </c>
      <c r="F100" s="185"/>
      <c r="G100" s="29"/>
      <c r="H100" s="29"/>
      <c r="I100" s="29"/>
      <c r="J100" s="32"/>
      <c r="K100" s="32"/>
      <c r="L100" s="32"/>
      <c r="M100" s="32"/>
      <c r="N100" s="8"/>
      <c r="P100" s="3"/>
      <c r="R100" s="1"/>
      <c r="S100" s="27"/>
      <c r="T100" s="2"/>
      <c r="Y100" s="5"/>
      <c r="AA100" s="3"/>
    </row>
    <row r="101" spans="1:27" ht="13.9" hidden="1" customHeight="1">
      <c r="A101" s="25"/>
      <c r="B101" s="25"/>
      <c r="C101" s="40" t="s">
        <v>69</v>
      </c>
      <c r="D101" s="10">
        <f>COUNTIF(N4:N63,"Erosão Cost ECP")</f>
        <v>0</v>
      </c>
      <c r="E101" s="184" t="e">
        <f>D101/D117</f>
        <v>#DIV/0!</v>
      </c>
      <c r="F101" s="185"/>
      <c r="G101" s="29"/>
      <c r="H101" s="29"/>
      <c r="I101" s="29"/>
      <c r="J101" s="32"/>
      <c r="K101" s="32"/>
      <c r="L101" s="32"/>
      <c r="M101" s="32"/>
      <c r="N101" s="8"/>
      <c r="P101" s="3"/>
      <c r="R101" s="1"/>
      <c r="S101" s="27"/>
      <c r="T101" s="2"/>
      <c r="Y101" s="5"/>
      <c r="AA101" s="3"/>
    </row>
    <row r="102" spans="1:27" ht="13.9" hidden="1" customHeight="1">
      <c r="A102" s="25"/>
      <c r="B102" s="25"/>
      <c r="C102" s="13" t="s">
        <v>68</v>
      </c>
      <c r="D102" s="10">
        <f>COUNTIF(N4:N63,"Erosão M Fluv ECP")</f>
        <v>0</v>
      </c>
      <c r="E102" s="184" t="e">
        <f>D102/D117</f>
        <v>#DIV/0!</v>
      </c>
      <c r="F102" s="185"/>
      <c r="G102" s="29"/>
      <c r="H102" s="29"/>
      <c r="I102" s="29"/>
      <c r="J102" s="32"/>
      <c r="K102" s="32"/>
      <c r="L102" s="32"/>
      <c r="M102" s="32"/>
      <c r="N102" s="8"/>
      <c r="P102" s="3"/>
      <c r="R102" s="1"/>
      <c r="S102" s="27"/>
      <c r="T102" s="2"/>
      <c r="Y102" s="5"/>
      <c r="AA102" s="3"/>
    </row>
    <row r="103" spans="1:27" ht="13.9" hidden="1" customHeight="1">
      <c r="A103" s="25"/>
      <c r="B103" s="25"/>
      <c r="C103" s="13" t="s">
        <v>67</v>
      </c>
      <c r="D103" s="10">
        <f>COUNTIF(N4:N63,"Enchentes ECP")</f>
        <v>0</v>
      </c>
      <c r="E103" s="184" t="e">
        <f>D103/D117</f>
        <v>#DIV/0!</v>
      </c>
      <c r="F103" s="185"/>
      <c r="G103" s="29"/>
      <c r="H103" s="29"/>
      <c r="I103" s="29"/>
      <c r="J103" s="32"/>
      <c r="K103" s="32"/>
      <c r="L103" s="32"/>
      <c r="M103" s="32"/>
      <c r="N103" s="8"/>
      <c r="P103" s="3"/>
      <c r="R103" s="1"/>
      <c r="S103" s="27"/>
      <c r="T103" s="2"/>
      <c r="Y103" s="5"/>
      <c r="AA103" s="3"/>
    </row>
    <row r="104" spans="1:27" ht="13.9" hidden="1" customHeight="1">
      <c r="A104" s="25"/>
      <c r="B104" s="25"/>
      <c r="C104" s="40" t="s">
        <v>66</v>
      </c>
      <c r="D104" s="10">
        <f>COUNTIF(N4:N63,"Enxurradas ECP")</f>
        <v>0</v>
      </c>
      <c r="E104" s="184" t="e">
        <f>D104/D117</f>
        <v>#DIV/0!</v>
      </c>
      <c r="F104" s="185"/>
      <c r="G104" s="29"/>
      <c r="H104" s="29"/>
      <c r="I104" s="29"/>
      <c r="J104" s="32"/>
      <c r="K104" s="32"/>
      <c r="L104" s="32"/>
      <c r="M104" s="32"/>
      <c r="N104" s="8"/>
      <c r="P104" s="3"/>
      <c r="R104" s="1"/>
      <c r="S104" s="27"/>
      <c r="T104" s="2"/>
      <c r="Y104" s="5"/>
      <c r="AA104" s="3"/>
    </row>
    <row r="105" spans="1:27" ht="13.9" hidden="1" customHeight="1">
      <c r="A105" s="25"/>
      <c r="B105" s="25"/>
      <c r="C105" s="40" t="s">
        <v>65</v>
      </c>
      <c r="D105" s="10">
        <f>COUNTIF(N4:N63,"Estiagem ECP")</f>
        <v>0</v>
      </c>
      <c r="E105" s="184" t="e">
        <f>D105/D117</f>
        <v>#DIV/0!</v>
      </c>
      <c r="F105" s="185"/>
      <c r="G105" s="29"/>
      <c r="H105" s="29"/>
      <c r="I105" s="29"/>
      <c r="J105" s="32"/>
      <c r="K105" s="32"/>
      <c r="L105" s="32"/>
      <c r="M105" s="32"/>
      <c r="N105" s="8"/>
      <c r="P105" s="3"/>
      <c r="R105" s="1"/>
      <c r="S105" s="27"/>
      <c r="T105" s="2"/>
      <c r="Y105" s="5"/>
      <c r="AA105" s="3"/>
    </row>
    <row r="106" spans="1:27" ht="13.9" hidden="1" customHeight="1">
      <c r="A106" s="25"/>
      <c r="B106" s="25"/>
      <c r="C106" s="40" t="s">
        <v>64</v>
      </c>
      <c r="D106" s="10">
        <f>COUNTIF(N4:N64,"friagem ECP")</f>
        <v>0</v>
      </c>
      <c r="E106" s="184" t="e">
        <f>D106/D117</f>
        <v>#DIV/0!</v>
      </c>
      <c r="F106" s="185"/>
      <c r="G106" s="29"/>
      <c r="H106" s="29"/>
      <c r="I106" s="29"/>
      <c r="J106" s="32"/>
      <c r="K106" s="32"/>
      <c r="L106" s="32"/>
      <c r="M106" s="32"/>
      <c r="N106" s="8"/>
      <c r="P106" s="3"/>
      <c r="R106" s="1"/>
      <c r="S106" s="27"/>
      <c r="T106" s="2"/>
      <c r="Y106" s="5"/>
      <c r="AA106" s="3"/>
    </row>
    <row r="107" spans="1:27" ht="13.9" hidden="1" customHeight="1">
      <c r="A107" s="25"/>
      <c r="B107" s="25"/>
      <c r="C107" s="40" t="s">
        <v>63</v>
      </c>
      <c r="D107" s="10">
        <f>COUNTIF(N4:N65,"geadas ECP")</f>
        <v>0</v>
      </c>
      <c r="E107" s="184" t="e">
        <f>D107/D117</f>
        <v>#DIV/0!</v>
      </c>
      <c r="F107" s="185"/>
      <c r="G107" s="29"/>
      <c r="H107" s="29"/>
      <c r="I107" s="29"/>
      <c r="J107" s="32"/>
      <c r="K107" s="32"/>
      <c r="L107" s="32"/>
      <c r="M107" s="32"/>
      <c r="N107" s="8"/>
      <c r="P107" s="3"/>
      <c r="R107" s="1"/>
      <c r="S107" s="27"/>
      <c r="T107" s="2"/>
      <c r="Y107" s="5"/>
      <c r="AA107" s="3"/>
    </row>
    <row r="108" spans="1:27" ht="13.9" hidden="1" customHeight="1">
      <c r="A108" s="25"/>
      <c r="B108" s="25"/>
      <c r="C108" s="40" t="s">
        <v>62</v>
      </c>
      <c r="D108" s="10">
        <f>COUNTIF(N4:N66,"friagem ECP")</f>
        <v>0</v>
      </c>
      <c r="E108" s="184" t="e">
        <f>D108/D117</f>
        <v>#DIV/0!</v>
      </c>
      <c r="F108" s="185"/>
      <c r="G108" s="29"/>
      <c r="H108" s="29"/>
      <c r="I108" s="29"/>
      <c r="J108" s="32"/>
      <c r="K108" s="32"/>
      <c r="L108" s="32"/>
      <c r="M108" s="32"/>
      <c r="N108" s="8"/>
      <c r="P108" s="3"/>
      <c r="R108" s="1"/>
      <c r="S108" s="27"/>
      <c r="T108" s="2"/>
      <c r="Y108" s="5"/>
      <c r="AA108" s="3"/>
    </row>
    <row r="109" spans="1:27" ht="13.9" hidden="1" customHeight="1">
      <c r="A109" s="25"/>
      <c r="B109" s="25"/>
      <c r="C109" s="40" t="s">
        <v>61</v>
      </c>
      <c r="D109" s="10">
        <f>COUNTIF(N4:N68,"Incêndios Aglom Resid ECP")</f>
        <v>0</v>
      </c>
      <c r="E109" s="184" t="e">
        <f>D109/D117</f>
        <v>#DIV/0!</v>
      </c>
      <c r="F109" s="185"/>
      <c r="G109" s="29"/>
      <c r="H109" s="29"/>
      <c r="I109" s="29"/>
      <c r="J109" s="32"/>
      <c r="K109" s="32"/>
      <c r="L109" s="32"/>
      <c r="M109" s="32"/>
      <c r="N109" s="8"/>
      <c r="P109" s="3"/>
      <c r="R109" s="1"/>
      <c r="S109" s="27"/>
      <c r="T109" s="2"/>
      <c r="Y109" s="5"/>
      <c r="AA109" s="3"/>
    </row>
    <row r="110" spans="1:27" ht="13.9" hidden="1" customHeight="1">
      <c r="A110" s="25"/>
      <c r="B110" s="25"/>
      <c r="C110" s="40" t="s">
        <v>60</v>
      </c>
      <c r="D110" s="10">
        <f>COUNTIF(N4:N63,"inundação ECP")</f>
        <v>0</v>
      </c>
      <c r="E110" s="184" t="e">
        <f>D110/D117</f>
        <v>#DIV/0!</v>
      </c>
      <c r="F110" s="185"/>
      <c r="G110" s="29"/>
      <c r="H110" s="29"/>
      <c r="I110" s="29"/>
      <c r="J110" s="32"/>
      <c r="K110" s="32"/>
      <c r="L110" s="32"/>
      <c r="M110" s="32"/>
      <c r="N110" s="8"/>
      <c r="P110" s="3"/>
      <c r="R110" s="1"/>
      <c r="S110" s="27"/>
      <c r="T110" s="2"/>
      <c r="Y110" s="5"/>
      <c r="AA110" s="3"/>
    </row>
    <row r="111" spans="1:27" ht="13.9" hidden="1" customHeight="1">
      <c r="A111" s="25"/>
      <c r="B111" s="25"/>
      <c r="C111" s="40" t="s">
        <v>59</v>
      </c>
      <c r="D111" s="10">
        <f>COUNTIF(N4:N63,"Lib. Química ECP")</f>
        <v>0</v>
      </c>
      <c r="E111" s="184" t="e">
        <f>D111/D117</f>
        <v>#DIV/0!</v>
      </c>
      <c r="F111" s="185"/>
      <c r="G111" s="29"/>
      <c r="H111" s="29"/>
      <c r="I111" s="29"/>
      <c r="J111" s="32"/>
      <c r="K111" s="32"/>
      <c r="L111" s="32"/>
      <c r="M111" s="32"/>
      <c r="N111" s="8"/>
      <c r="P111" s="3"/>
      <c r="R111" s="1"/>
      <c r="S111" s="27"/>
      <c r="T111" s="2"/>
      <c r="Y111" s="5"/>
      <c r="AA111" s="3"/>
    </row>
    <row r="112" spans="1:27" ht="13.9" hidden="1" customHeight="1">
      <c r="A112" s="25"/>
      <c r="B112" s="25"/>
      <c r="C112" s="13" t="s">
        <v>58</v>
      </c>
      <c r="D112" s="10">
        <f>COUNTIF(N4:N63,"Mov massa ECP")</f>
        <v>0</v>
      </c>
      <c r="E112" s="184" t="e">
        <f>D112/D117</f>
        <v>#DIV/0!</v>
      </c>
      <c r="F112" s="185"/>
      <c r="G112" s="29"/>
      <c r="H112" s="29"/>
      <c r="I112" s="29"/>
      <c r="J112" s="32"/>
      <c r="K112" s="32"/>
      <c r="L112" s="32"/>
      <c r="M112" s="32"/>
      <c r="N112" s="8"/>
      <c r="P112" s="3"/>
      <c r="R112" s="1"/>
      <c r="S112" s="27"/>
      <c r="T112" s="2"/>
      <c r="Y112" s="5"/>
      <c r="AA112" s="3"/>
    </row>
    <row r="113" spans="1:27" ht="13.9" hidden="1" customHeight="1">
      <c r="A113" s="25"/>
      <c r="B113" s="25"/>
      <c r="C113" s="13" t="s">
        <v>57</v>
      </c>
      <c r="D113" s="10">
        <f>COUNTIF(N4:N63,"onda de calor ECP")</f>
        <v>0</v>
      </c>
      <c r="E113" s="184" t="e">
        <f>D113/D117</f>
        <v>#DIV/0!</v>
      </c>
      <c r="F113" s="185"/>
      <c r="G113" s="29"/>
      <c r="H113" s="29"/>
      <c r="I113" s="29"/>
      <c r="J113" s="32"/>
      <c r="K113" s="32"/>
      <c r="L113" s="32"/>
      <c r="M113" s="32"/>
      <c r="N113" s="8"/>
      <c r="P113" s="3"/>
      <c r="R113" s="1"/>
      <c r="S113" s="27"/>
      <c r="T113" s="2"/>
      <c r="Y113" s="5"/>
      <c r="AA113" s="3"/>
    </row>
    <row r="114" spans="1:27" ht="13.9" hidden="1" customHeight="1">
      <c r="A114" s="25"/>
      <c r="B114" s="25"/>
      <c r="C114" s="13" t="s">
        <v>56</v>
      </c>
      <c r="D114" s="10">
        <f>COUNTIF(N4:N73,"Ressacas ECP")</f>
        <v>0</v>
      </c>
      <c r="E114" s="184" t="e">
        <f>D114/D117</f>
        <v>#DIV/0!</v>
      </c>
      <c r="F114" s="185"/>
      <c r="G114" s="29"/>
      <c r="H114" s="29"/>
      <c r="I114" s="29"/>
      <c r="J114" s="32"/>
      <c r="K114" s="32"/>
      <c r="L114" s="32"/>
      <c r="M114" s="32"/>
      <c r="N114" s="8"/>
      <c r="P114" s="3"/>
      <c r="R114" s="1"/>
      <c r="S114" s="27"/>
      <c r="T114" s="2"/>
      <c r="Y114" s="5"/>
      <c r="AA114" s="3"/>
    </row>
    <row r="115" spans="1:27" ht="13.9" hidden="1" customHeight="1">
      <c r="A115" s="25"/>
      <c r="B115" s="25"/>
      <c r="C115" s="13" t="s">
        <v>55</v>
      </c>
      <c r="D115" s="10">
        <f>COUNTIF(N4:N72,"Tornado ECP")</f>
        <v>0</v>
      </c>
      <c r="E115" s="184" t="e">
        <f>D115/D117</f>
        <v>#DIV/0!</v>
      </c>
      <c r="F115" s="185"/>
      <c r="G115" s="29"/>
      <c r="H115" s="29"/>
      <c r="I115" s="29"/>
      <c r="J115" s="32"/>
      <c r="K115" s="32"/>
      <c r="L115" s="32"/>
      <c r="M115" s="32"/>
      <c r="N115" s="8"/>
      <c r="P115" s="3"/>
      <c r="R115" s="1"/>
      <c r="S115" s="27"/>
      <c r="T115" s="2"/>
      <c r="Y115" s="5"/>
      <c r="AA115" s="3"/>
    </row>
    <row r="116" spans="1:27" ht="13.9" hidden="1" customHeight="1">
      <c r="A116" s="25"/>
      <c r="B116" s="25"/>
      <c r="C116" s="40" t="s">
        <v>54</v>
      </c>
      <c r="D116" s="10">
        <f>COUNTIF(N4:N63,"Vendaval ECP")</f>
        <v>0</v>
      </c>
      <c r="E116" s="184" t="e">
        <f>D116/D117</f>
        <v>#DIV/0!</v>
      </c>
      <c r="F116" s="185"/>
      <c r="G116" s="29"/>
      <c r="H116" s="29"/>
      <c r="I116" s="29"/>
      <c r="J116" s="32"/>
      <c r="K116" s="32"/>
      <c r="L116" s="32"/>
      <c r="M116" s="32"/>
      <c r="N116" s="8"/>
      <c r="P116" s="3"/>
      <c r="R116" s="1"/>
      <c r="S116" s="27"/>
      <c r="T116" s="2"/>
      <c r="Y116" s="5"/>
      <c r="AA116" s="3"/>
    </row>
    <row r="117" spans="1:27" ht="13.9" hidden="1" customHeight="1">
      <c r="A117" s="25"/>
      <c r="B117" s="25"/>
      <c r="C117" s="39" t="s">
        <v>53</v>
      </c>
      <c r="D117" s="187">
        <f>SUM(D97:D116)</f>
        <v>0</v>
      </c>
      <c r="E117" s="188" t="e">
        <f>SUM(E97:E116)</f>
        <v>#DIV/0!</v>
      </c>
      <c r="F117" s="185"/>
      <c r="G117" s="29"/>
      <c r="H117" s="29"/>
      <c r="I117" s="29"/>
      <c r="J117" s="32"/>
      <c r="K117" s="32"/>
      <c r="L117" s="32"/>
      <c r="M117" s="32"/>
      <c r="N117" s="8"/>
      <c r="P117" s="3"/>
      <c r="R117" s="1"/>
      <c r="S117" s="27"/>
      <c r="T117" s="2"/>
      <c r="Y117" s="5"/>
      <c r="AA117" s="3"/>
    </row>
    <row r="118" spans="1:27" ht="13.9" hidden="1" customHeight="1">
      <c r="A118" s="25"/>
      <c r="B118" s="25"/>
      <c r="C118" s="36"/>
      <c r="D118" s="177"/>
      <c r="E118" s="185"/>
      <c r="F118" s="185"/>
      <c r="G118" s="29"/>
      <c r="H118" s="29"/>
      <c r="I118" s="29"/>
      <c r="J118" s="32"/>
      <c r="K118" s="32"/>
      <c r="L118" s="32"/>
      <c r="M118" s="32"/>
      <c r="N118" s="8"/>
      <c r="P118" s="3"/>
      <c r="R118" s="1"/>
      <c r="S118" s="27"/>
      <c r="T118" s="2"/>
      <c r="Y118" s="5"/>
      <c r="AA118" s="3"/>
    </row>
    <row r="119" spans="1:27" ht="13.9" hidden="1" customHeight="1">
      <c r="C119" s="32"/>
      <c r="D119" s="180"/>
      <c r="E119" s="180"/>
      <c r="F119" s="180"/>
      <c r="G119" s="32"/>
      <c r="H119" s="32"/>
      <c r="I119" s="32"/>
      <c r="J119" s="32"/>
      <c r="K119" s="32"/>
      <c r="L119" s="32"/>
      <c r="M119" s="36"/>
      <c r="N119" s="8"/>
      <c r="P119" s="3"/>
      <c r="R119" s="1"/>
      <c r="S119" s="27"/>
      <c r="T119" s="2"/>
      <c r="AA119" s="3"/>
    </row>
    <row r="120" spans="1:27" ht="13.9" hidden="1" customHeight="1">
      <c r="B120" s="31"/>
      <c r="C120" s="41" t="s">
        <v>52</v>
      </c>
      <c r="D120" s="189"/>
      <c r="E120" s="190" t="s">
        <v>12</v>
      </c>
      <c r="F120" s="191"/>
      <c r="G120" s="36"/>
      <c r="H120" s="36"/>
      <c r="I120" s="36"/>
      <c r="J120" s="36"/>
      <c r="K120" s="36"/>
      <c r="L120" s="36"/>
      <c r="M120" s="33"/>
      <c r="N120" s="8"/>
      <c r="P120" s="3"/>
      <c r="R120" s="1"/>
      <c r="S120" s="27"/>
      <c r="T120" s="2"/>
      <c r="AA120" s="3"/>
    </row>
    <row r="121" spans="1:27" ht="13.9" hidden="1" customHeight="1">
      <c r="B121" s="25"/>
      <c r="C121" s="46" t="s">
        <v>51</v>
      </c>
      <c r="D121" s="10">
        <f>COUNTIF(O4:O44,"SE-")</f>
        <v>5</v>
      </c>
      <c r="E121" s="184">
        <f>D121/D125</f>
        <v>0.1388888888888889</v>
      </c>
      <c r="F121" s="183"/>
      <c r="G121" s="33"/>
      <c r="H121" s="33"/>
      <c r="I121" s="33"/>
      <c r="J121" s="32"/>
      <c r="K121" s="32"/>
      <c r="L121" s="32"/>
      <c r="M121" s="31"/>
      <c r="N121" s="8"/>
      <c r="P121" s="3"/>
      <c r="R121" s="1"/>
      <c r="S121" s="27"/>
      <c r="T121" s="2"/>
      <c r="U121" s="30"/>
      <c r="V121" s="30"/>
      <c r="W121" s="30"/>
      <c r="X121" s="30"/>
      <c r="AA121" s="3"/>
    </row>
    <row r="122" spans="1:27" ht="13.9" hidden="1" customHeight="1">
      <c r="B122" s="25"/>
      <c r="C122" s="40" t="s">
        <v>50</v>
      </c>
      <c r="D122" s="10">
        <f>COUNTIF(O4:O45,"SE-I")</f>
        <v>2</v>
      </c>
      <c r="E122" s="184">
        <f>D122/D125</f>
        <v>5.5555555555555552E-2</v>
      </c>
      <c r="F122" s="183"/>
      <c r="G122" s="33"/>
      <c r="H122" s="33"/>
      <c r="I122" s="33"/>
      <c r="J122" s="32"/>
      <c r="K122" s="32"/>
      <c r="L122" s="32"/>
      <c r="M122" s="31"/>
      <c r="N122" s="8"/>
      <c r="P122" s="3"/>
      <c r="R122" s="1"/>
      <c r="S122" s="27"/>
      <c r="T122" s="2"/>
      <c r="U122" s="30"/>
      <c r="V122" s="30"/>
      <c r="W122" s="30"/>
      <c r="X122" s="30"/>
      <c r="AA122" s="3"/>
    </row>
    <row r="123" spans="1:27" ht="13.9" hidden="1" customHeight="1">
      <c r="B123" s="25"/>
      <c r="C123" s="40" t="s">
        <v>49</v>
      </c>
      <c r="D123" s="10">
        <f>COUNTIF(O4:O44,"SE-II")</f>
        <v>29</v>
      </c>
      <c r="E123" s="184">
        <f>D123/D125</f>
        <v>0.80555555555555558</v>
      </c>
      <c r="F123" s="186"/>
      <c r="G123" s="31"/>
      <c r="H123" s="31"/>
      <c r="I123" s="31"/>
      <c r="J123" s="31"/>
      <c r="K123" s="31"/>
      <c r="L123" s="31"/>
      <c r="M123" s="32"/>
      <c r="N123" s="45"/>
      <c r="O123" s="45"/>
      <c r="P123" s="45"/>
      <c r="Q123" s="45"/>
      <c r="R123" s="45"/>
      <c r="S123" s="44"/>
      <c r="T123" s="2"/>
      <c r="AA123" s="3"/>
    </row>
    <row r="124" spans="1:27" ht="13.9" hidden="1" customHeight="1">
      <c r="B124" s="25"/>
      <c r="C124" s="40" t="s">
        <v>48</v>
      </c>
      <c r="D124" s="10">
        <f>COUNTIF(O4:O44,"ECP")</f>
        <v>0</v>
      </c>
      <c r="E124" s="184">
        <f>D124/D125</f>
        <v>0</v>
      </c>
      <c r="F124" s="180"/>
      <c r="G124" s="32"/>
      <c r="H124" s="32"/>
      <c r="I124" s="32"/>
      <c r="J124" s="32"/>
      <c r="K124" s="32"/>
      <c r="L124" s="32"/>
      <c r="M124" s="32"/>
      <c r="N124" s="43"/>
      <c r="O124" s="42"/>
      <c r="P124" s="3"/>
      <c r="Q124" s="29"/>
      <c r="R124" s="29"/>
      <c r="S124" s="23"/>
      <c r="T124" s="2"/>
      <c r="U124" s="30"/>
      <c r="V124" s="30"/>
      <c r="W124" s="30"/>
      <c r="X124" s="30"/>
      <c r="AA124" s="3"/>
    </row>
    <row r="125" spans="1:27" ht="13.9" hidden="1" customHeight="1">
      <c r="A125" s="25"/>
      <c r="B125" s="25"/>
      <c r="C125" s="39" t="s">
        <v>40</v>
      </c>
      <c r="D125" s="192">
        <f>SUM(D121:D124)</f>
        <v>36</v>
      </c>
      <c r="E125" s="193">
        <f>SUM(E121:E124)</f>
        <v>1</v>
      </c>
      <c r="F125" s="180"/>
      <c r="G125" s="32"/>
      <c r="H125" s="32"/>
      <c r="I125" s="32"/>
      <c r="J125" s="32"/>
      <c r="K125" s="32"/>
      <c r="L125" s="32"/>
      <c r="M125" s="32"/>
      <c r="N125" s="35"/>
      <c r="O125" s="38"/>
      <c r="P125" s="38"/>
      <c r="Q125" s="38"/>
      <c r="R125" s="38"/>
      <c r="S125" s="37"/>
      <c r="T125" s="2"/>
      <c r="U125" s="30"/>
      <c r="V125" s="30"/>
      <c r="W125" s="30"/>
      <c r="X125" s="30"/>
      <c r="AA125" s="3"/>
    </row>
    <row r="126" spans="1:27" ht="13.9" hidden="1" customHeight="1">
      <c r="A126" s="25"/>
      <c r="B126" s="25"/>
      <c r="C126" s="36"/>
      <c r="D126" s="194"/>
      <c r="E126" s="195"/>
      <c r="F126" s="180"/>
      <c r="G126" s="32"/>
      <c r="H126" s="32"/>
      <c r="I126" s="32"/>
      <c r="J126" s="32"/>
      <c r="K126" s="32"/>
      <c r="L126" s="32"/>
      <c r="M126" s="32"/>
      <c r="N126" s="35"/>
      <c r="O126" s="38"/>
      <c r="P126" s="38"/>
      <c r="Q126" s="38"/>
      <c r="R126" s="38"/>
      <c r="S126" s="37"/>
      <c r="T126" s="2"/>
      <c r="U126" s="30"/>
      <c r="V126" s="30"/>
      <c r="W126" s="30"/>
      <c r="X126" s="30"/>
      <c r="AA126" s="3"/>
    </row>
    <row r="127" spans="1:27" ht="13.9" hidden="1" customHeight="1">
      <c r="A127" s="25"/>
      <c r="B127" s="25"/>
      <c r="C127" s="41" t="s">
        <v>47</v>
      </c>
      <c r="D127" s="189"/>
      <c r="E127" s="190" t="s">
        <v>12</v>
      </c>
      <c r="F127" s="180"/>
      <c r="G127" s="32"/>
      <c r="H127" s="32"/>
      <c r="I127" s="32"/>
      <c r="J127" s="32"/>
      <c r="K127" s="32"/>
      <c r="L127" s="32"/>
      <c r="M127" s="32"/>
      <c r="N127" s="35"/>
      <c r="O127" s="38"/>
      <c r="P127" s="38"/>
      <c r="Q127" s="38"/>
      <c r="R127" s="38"/>
      <c r="S127" s="37"/>
      <c r="T127" s="2"/>
      <c r="U127" s="30"/>
      <c r="V127" s="30"/>
      <c r="W127" s="30"/>
      <c r="X127" s="30"/>
      <c r="AA127" s="3"/>
    </row>
    <row r="128" spans="1:27" ht="13.9" hidden="1" customHeight="1">
      <c r="A128" s="25"/>
      <c r="B128" s="25"/>
      <c r="C128" s="40" t="s">
        <v>46</v>
      </c>
      <c r="D128" s="10" t="e">
        <f>COUNTIF(#REF!,"FNS")</f>
        <v>#REF!</v>
      </c>
      <c r="E128" s="184" t="e">
        <f>D128/D134</f>
        <v>#REF!</v>
      </c>
      <c r="F128" s="196"/>
      <c r="G128" s="32"/>
      <c r="H128" s="32"/>
      <c r="I128" s="32"/>
      <c r="J128" s="32"/>
      <c r="K128" s="32"/>
      <c r="L128" s="32"/>
      <c r="M128" s="32"/>
      <c r="N128" s="35"/>
      <c r="O128" s="38"/>
      <c r="P128" s="38"/>
      <c r="Q128" s="38"/>
      <c r="R128" s="38"/>
      <c r="S128" s="37"/>
      <c r="T128" s="2"/>
      <c r="U128" s="30"/>
      <c r="V128" s="30"/>
      <c r="W128" s="30"/>
      <c r="X128" s="30"/>
      <c r="AA128" s="3"/>
    </row>
    <row r="129" spans="1:27" ht="13.9" hidden="1" customHeight="1">
      <c r="A129" s="25"/>
      <c r="B129" s="25"/>
      <c r="C129" s="40" t="s">
        <v>45</v>
      </c>
      <c r="D129" s="10" t="e">
        <f>COUNTIF(#REF!,"NCE")</f>
        <v>#REF!</v>
      </c>
      <c r="E129" s="184" t="e">
        <f>D129/D134</f>
        <v>#REF!</v>
      </c>
      <c r="F129" s="180">
        <f>COUNTA(#REF!)</f>
        <v>1</v>
      </c>
      <c r="G129" s="32"/>
      <c r="H129" s="32"/>
      <c r="I129" s="32"/>
      <c r="J129" s="32"/>
      <c r="K129" s="32"/>
      <c r="L129" s="32"/>
      <c r="M129" s="32"/>
      <c r="N129" s="35"/>
      <c r="O129" s="38"/>
      <c r="P129" s="38"/>
      <c r="Q129" s="38"/>
      <c r="R129" s="38"/>
      <c r="S129" s="37"/>
      <c r="T129" s="2"/>
      <c r="U129" s="30"/>
      <c r="V129" s="30"/>
      <c r="W129" s="30"/>
      <c r="X129" s="30"/>
      <c r="AA129" s="3"/>
    </row>
    <row r="130" spans="1:27" ht="13.9" hidden="1" customHeight="1">
      <c r="A130" s="25"/>
      <c r="B130" s="25"/>
      <c r="C130" s="40" t="s">
        <v>44</v>
      </c>
      <c r="D130" s="10" t="e">
        <f>COUNTIF(#REF!,"OCA")</f>
        <v>#REF!</v>
      </c>
      <c r="E130" s="184" t="e">
        <f>D130/D134</f>
        <v>#REF!</v>
      </c>
      <c r="F130" s="180"/>
      <c r="G130" s="32"/>
      <c r="H130" s="32"/>
      <c r="I130" s="32"/>
      <c r="J130" s="32"/>
      <c r="K130" s="32"/>
      <c r="L130" s="32"/>
      <c r="M130" s="32"/>
      <c r="N130" s="35"/>
      <c r="O130" s="38"/>
      <c r="P130" s="38"/>
      <c r="Q130" s="38"/>
      <c r="R130" s="38"/>
      <c r="S130" s="37"/>
      <c r="T130" s="2"/>
      <c r="U130" s="30"/>
      <c r="V130" s="30"/>
      <c r="W130" s="30"/>
      <c r="X130" s="30"/>
      <c r="AA130" s="3"/>
    </row>
    <row r="131" spans="1:27" ht="13.9" hidden="1" customHeight="1">
      <c r="A131" s="25"/>
      <c r="B131" s="25"/>
      <c r="C131" s="40" t="s">
        <v>43</v>
      </c>
      <c r="D131" s="10" t="e">
        <f>COUNTIF(#REF!,"SER")</f>
        <v>#REF!</v>
      </c>
      <c r="E131" s="184" t="e">
        <f>D131/D134</f>
        <v>#REF!</v>
      </c>
      <c r="F131" s="180"/>
      <c r="G131" s="32"/>
      <c r="H131" s="32"/>
      <c r="I131" s="32"/>
      <c r="J131" s="32"/>
      <c r="K131" s="32"/>
      <c r="L131" s="32"/>
      <c r="M131" s="32"/>
      <c r="N131" s="35"/>
      <c r="O131" s="38"/>
      <c r="P131" s="38"/>
      <c r="Q131" s="38"/>
      <c r="R131" s="38"/>
      <c r="S131" s="37"/>
      <c r="T131" s="2"/>
      <c r="U131" s="30"/>
      <c r="V131" s="30"/>
      <c r="W131" s="30"/>
      <c r="X131" s="30"/>
      <c r="AA131" s="3"/>
    </row>
    <row r="132" spans="1:27" ht="13.9" hidden="1" customHeight="1">
      <c r="A132" s="25"/>
      <c r="B132" s="25"/>
      <c r="C132" s="40" t="s">
        <v>42</v>
      </c>
      <c r="D132" s="10" t="e">
        <f>COUNTIF(#REF!,"SUL")</f>
        <v>#REF!</v>
      </c>
      <c r="E132" s="184" t="e">
        <f>D132/D134</f>
        <v>#REF!</v>
      </c>
      <c r="F132" s="180"/>
      <c r="G132" s="32"/>
      <c r="H132" s="32"/>
      <c r="I132" s="32"/>
      <c r="J132" s="32"/>
      <c r="K132" s="32"/>
      <c r="L132" s="32"/>
      <c r="M132" s="32"/>
      <c r="N132" s="35"/>
      <c r="O132" s="38"/>
      <c r="P132" s="38"/>
      <c r="Q132" s="38"/>
      <c r="R132" s="38"/>
      <c r="S132" s="37"/>
      <c r="T132" s="2"/>
      <c r="U132" s="30"/>
      <c r="V132" s="30"/>
      <c r="W132" s="30"/>
      <c r="X132" s="30"/>
      <c r="AA132" s="3"/>
    </row>
    <row r="133" spans="1:27" ht="13.9" hidden="1" customHeight="1">
      <c r="A133" s="25"/>
      <c r="B133" s="25"/>
      <c r="C133" s="40" t="s">
        <v>41</v>
      </c>
      <c r="D133" s="10" t="e">
        <f>COUNTIF(#REF!,"IAI")</f>
        <v>#REF!</v>
      </c>
      <c r="E133" s="184" t="e">
        <f>D133/D134</f>
        <v>#REF!</v>
      </c>
      <c r="F133" s="180"/>
      <c r="G133" s="32"/>
      <c r="H133" s="32"/>
      <c r="I133" s="32"/>
      <c r="J133" s="32"/>
      <c r="K133" s="32"/>
      <c r="L133" s="32"/>
      <c r="M133" s="32"/>
      <c r="N133" s="35"/>
      <c r="O133" s="38"/>
      <c r="P133" s="38"/>
      <c r="Q133" s="38"/>
      <c r="R133" s="38"/>
      <c r="S133" s="37"/>
      <c r="T133" s="2"/>
      <c r="U133" s="30"/>
      <c r="V133" s="30"/>
      <c r="W133" s="30"/>
      <c r="X133" s="30"/>
      <c r="AA133" s="3"/>
    </row>
    <row r="134" spans="1:27" ht="13.9" hidden="1" customHeight="1">
      <c r="A134" s="25"/>
      <c r="B134" s="25"/>
      <c r="C134" s="39" t="s">
        <v>40</v>
      </c>
      <c r="D134" s="192" t="e">
        <f>SUM(D128:D133)</f>
        <v>#REF!</v>
      </c>
      <c r="E134" s="193" t="e">
        <f>SUM(E128:E133)</f>
        <v>#REF!</v>
      </c>
      <c r="F134" s="180"/>
      <c r="G134" s="32"/>
      <c r="H134" s="32"/>
      <c r="I134" s="32"/>
      <c r="J134" s="32"/>
      <c r="K134" s="32"/>
      <c r="L134" s="32"/>
      <c r="M134" s="32"/>
      <c r="N134" s="35"/>
      <c r="O134" s="38"/>
      <c r="P134" s="38"/>
      <c r="Q134" s="38"/>
      <c r="R134" s="38"/>
      <c r="S134" s="37"/>
      <c r="T134" s="2"/>
      <c r="U134" s="30"/>
      <c r="V134" s="30"/>
      <c r="W134" s="30"/>
      <c r="X134" s="30"/>
      <c r="AA134" s="3"/>
    </row>
    <row r="135" spans="1:27" ht="13.9" hidden="1" customHeight="1">
      <c r="A135" s="25"/>
      <c r="B135" s="25"/>
      <c r="C135" s="36"/>
      <c r="D135" s="194"/>
      <c r="E135" s="180"/>
      <c r="F135" s="180"/>
      <c r="G135" s="32"/>
      <c r="H135" s="32"/>
      <c r="I135" s="32"/>
      <c r="J135" s="32"/>
      <c r="K135" s="32"/>
      <c r="L135" s="32"/>
      <c r="M135" s="32"/>
      <c r="N135" s="35"/>
      <c r="O135" s="21"/>
      <c r="P135" s="21"/>
      <c r="Q135" s="21"/>
      <c r="R135" s="21"/>
      <c r="S135" s="34"/>
      <c r="T135" s="2"/>
      <c r="U135" s="30"/>
      <c r="V135" s="30"/>
      <c r="W135" s="30"/>
      <c r="X135" s="30"/>
      <c r="AA135" s="3"/>
    </row>
    <row r="136" spans="1:27" ht="13.9" hidden="1" customHeight="1">
      <c r="B136" s="31"/>
      <c r="C136" s="12" t="s">
        <v>39</v>
      </c>
      <c r="D136" s="181"/>
      <c r="E136" s="182" t="s">
        <v>12</v>
      </c>
      <c r="F136" s="180"/>
      <c r="G136" s="32"/>
      <c r="H136" s="32"/>
      <c r="I136" s="32"/>
      <c r="J136" s="32"/>
      <c r="K136" s="32"/>
      <c r="L136" s="32"/>
      <c r="M136" s="33"/>
      <c r="N136" s="8"/>
      <c r="T136" s="2"/>
      <c r="U136" s="30"/>
      <c r="V136" s="30"/>
      <c r="W136" s="30"/>
      <c r="X136" s="30"/>
      <c r="Y136" s="7"/>
      <c r="AA136" s="3"/>
    </row>
    <row r="137" spans="1:27" ht="13.9" hidden="1" customHeight="1">
      <c r="A137" s="25"/>
      <c r="B137" s="25"/>
      <c r="C137" s="24" t="s">
        <v>38</v>
      </c>
      <c r="D137" s="10">
        <f>COUNTIF(U4:U44,"Documentos que faltam")</f>
        <v>32</v>
      </c>
      <c r="E137" s="184">
        <f>D137/D139</f>
        <v>0.88888888888888884</v>
      </c>
      <c r="F137" s="183"/>
      <c r="G137" s="33"/>
      <c r="H137" s="33"/>
      <c r="I137" s="33"/>
      <c r="J137" s="32"/>
      <c r="K137" s="32"/>
      <c r="L137" s="32"/>
      <c r="M137" s="31"/>
      <c r="N137" s="8"/>
      <c r="T137" s="2"/>
      <c r="U137" s="30"/>
      <c r="V137" s="30"/>
      <c r="W137" s="30"/>
      <c r="X137" s="30"/>
      <c r="Y137" s="5"/>
      <c r="AA137" s="26"/>
    </row>
    <row r="138" spans="1:27" ht="13.9" hidden="1" customHeight="1">
      <c r="A138" s="25"/>
      <c r="B138" s="25"/>
      <c r="C138" s="24" t="s">
        <v>37</v>
      </c>
      <c r="D138" s="10">
        <f>COUNTIF(U4:U44,"Documentação ok")</f>
        <v>4</v>
      </c>
      <c r="E138" s="184">
        <f>D138/D139</f>
        <v>0.1111111111111111</v>
      </c>
      <c r="F138" s="185"/>
      <c r="G138" s="29"/>
      <c r="H138" s="29"/>
      <c r="I138" s="29"/>
      <c r="J138" s="29"/>
      <c r="K138" s="29"/>
      <c r="L138" s="29"/>
      <c r="M138" s="21"/>
      <c r="N138" s="8"/>
      <c r="P138" s="3"/>
      <c r="R138" s="28"/>
      <c r="S138" s="27"/>
      <c r="T138" s="2"/>
      <c r="Y138" s="5"/>
      <c r="AA138" s="26"/>
    </row>
    <row r="139" spans="1:27" ht="12.75" hidden="1" customHeight="1">
      <c r="A139" s="25"/>
      <c r="B139" s="25"/>
      <c r="C139" s="11" t="s">
        <v>28</v>
      </c>
      <c r="D139" s="197">
        <f>SUM(D137:D138)</f>
        <v>36</v>
      </c>
      <c r="E139" s="198">
        <f>SUM(E137:E138)</f>
        <v>1</v>
      </c>
      <c r="F139" s="199"/>
      <c r="G139" s="21"/>
      <c r="H139" s="21"/>
      <c r="I139" s="21"/>
      <c r="J139" s="21"/>
      <c r="K139" s="21"/>
      <c r="L139" s="21"/>
      <c r="M139" s="21"/>
      <c r="T139" s="2"/>
    </row>
    <row r="140" spans="1:27" ht="12.75" hidden="1">
      <c r="D140" s="200"/>
      <c r="E140" s="199"/>
      <c r="F140" s="199"/>
      <c r="G140" s="21"/>
      <c r="H140" s="21"/>
      <c r="I140" s="21"/>
      <c r="J140" s="21"/>
      <c r="K140" s="21"/>
      <c r="L140" s="21"/>
      <c r="M140" s="23"/>
      <c r="T140" s="2"/>
    </row>
    <row r="141" spans="1:27" ht="12.75" hidden="1">
      <c r="C141" s="12" t="s">
        <v>36</v>
      </c>
      <c r="D141" s="181"/>
      <c r="E141" s="182" t="s">
        <v>12</v>
      </c>
      <c r="F141" s="199"/>
      <c r="G141" s="21"/>
      <c r="H141" s="21"/>
      <c r="I141" s="21"/>
      <c r="J141" s="21"/>
      <c r="K141" s="21"/>
      <c r="L141" s="21"/>
      <c r="M141" s="23"/>
      <c r="T141" s="2"/>
    </row>
    <row r="142" spans="1:27" ht="12.75" hidden="1">
      <c r="C142" s="24" t="s">
        <v>35</v>
      </c>
      <c r="D142" s="10">
        <f>COUNTIF(AE4:AE47,"Aguardando ajustes")</f>
        <v>0</v>
      </c>
      <c r="E142" s="184">
        <f>D142/D149</f>
        <v>0</v>
      </c>
      <c r="F142" s="199"/>
      <c r="G142" s="21"/>
      <c r="H142" s="21"/>
      <c r="I142" s="21"/>
      <c r="J142" s="21"/>
      <c r="K142" s="21"/>
      <c r="L142" s="21"/>
      <c r="M142" s="23"/>
      <c r="T142" s="2"/>
    </row>
    <row r="143" spans="1:27" ht="12.75" hidden="1">
      <c r="C143" s="24" t="s">
        <v>34</v>
      </c>
      <c r="D143" s="10">
        <f>COUNTIF(AE4:AE47,"Arquivado")</f>
        <v>4</v>
      </c>
      <c r="E143" s="184">
        <f>D143/D149</f>
        <v>0.1111111111111111</v>
      </c>
      <c r="F143" s="199"/>
      <c r="G143" s="21"/>
      <c r="H143" s="21"/>
      <c r="I143" s="21"/>
      <c r="J143" s="21"/>
      <c r="K143" s="21"/>
      <c r="L143" s="21"/>
      <c r="M143" s="23"/>
      <c r="T143" s="2"/>
    </row>
    <row r="144" spans="1:27" ht="12.75" hidden="1">
      <c r="C144" s="24" t="s">
        <v>33</v>
      </c>
      <c r="D144" s="10">
        <f>COUNTIF(AE4:AE47,"Documentos em análise")</f>
        <v>2</v>
      </c>
      <c r="E144" s="184">
        <f>D144/D149</f>
        <v>5.5555555555555552E-2</v>
      </c>
      <c r="F144" s="199"/>
      <c r="G144" s="21"/>
      <c r="H144" s="21"/>
      <c r="I144" s="21"/>
      <c r="J144" s="21"/>
      <c r="K144" s="21"/>
      <c r="L144" s="21"/>
      <c r="M144" s="23"/>
      <c r="T144" s="2"/>
    </row>
    <row r="145" spans="3:20" ht="12.75" hidden="1">
      <c r="C145" s="24" t="s">
        <v>32</v>
      </c>
      <c r="D145" s="10">
        <f>COUNTIF(AE4:AE47,"Homologado")</f>
        <v>7</v>
      </c>
      <c r="E145" s="184">
        <f>D145/D149</f>
        <v>0.19444444444444445</v>
      </c>
      <c r="F145" s="199"/>
      <c r="G145" s="21"/>
      <c r="H145" s="21"/>
      <c r="I145" s="21"/>
      <c r="J145" s="21"/>
      <c r="K145" s="21"/>
      <c r="L145" s="21"/>
      <c r="M145" s="23"/>
      <c r="T145" s="2"/>
    </row>
    <row r="146" spans="3:20" ht="12.75" hidden="1">
      <c r="C146" s="24" t="s">
        <v>31</v>
      </c>
      <c r="D146" s="10">
        <f>COUNTIF(AE4:AE47,"Reconhecido")</f>
        <v>0</v>
      </c>
      <c r="E146" s="184">
        <f>D146/D149</f>
        <v>0</v>
      </c>
      <c r="F146" s="199"/>
      <c r="G146" s="21"/>
      <c r="H146" s="21"/>
      <c r="I146" s="21"/>
      <c r="J146" s="21"/>
      <c r="K146" s="21"/>
      <c r="L146" s="21"/>
      <c r="M146" s="23"/>
      <c r="T146" s="2"/>
    </row>
    <row r="147" spans="3:20" ht="12.75" hidden="1">
      <c r="C147" s="24" t="s">
        <v>30</v>
      </c>
      <c r="D147" s="10">
        <f>COUNTIF(AE4:AE47,"Homologado e Reconhecido")</f>
        <v>23</v>
      </c>
      <c r="E147" s="184">
        <f>D147/D149</f>
        <v>0.63888888888888884</v>
      </c>
      <c r="F147" s="199"/>
      <c r="G147" s="21"/>
      <c r="H147" s="21"/>
      <c r="I147" s="21"/>
      <c r="J147" s="21"/>
      <c r="K147" s="21"/>
      <c r="L147" s="21"/>
      <c r="M147" s="23"/>
      <c r="T147" s="2"/>
    </row>
    <row r="148" spans="3:20" ht="12.75" hidden="1">
      <c r="C148" s="24" t="s">
        <v>29</v>
      </c>
      <c r="D148" s="10">
        <f>COUNTIF(AE4:AE47,"Homologação em tramitação")</f>
        <v>0</v>
      </c>
      <c r="E148" s="184">
        <f>D148/D149</f>
        <v>0</v>
      </c>
      <c r="F148" s="199"/>
      <c r="G148" s="21"/>
      <c r="H148" s="21"/>
      <c r="I148" s="21"/>
      <c r="J148" s="21"/>
      <c r="K148" s="21"/>
      <c r="L148" s="21"/>
      <c r="M148" s="23"/>
      <c r="T148" s="2"/>
    </row>
    <row r="149" spans="3:20" ht="12.75" hidden="1">
      <c r="C149" s="11" t="s">
        <v>28</v>
      </c>
      <c r="D149" s="197">
        <f>SUM(D142:D148)</f>
        <v>36</v>
      </c>
      <c r="E149" s="198">
        <f>SUM(E141:E148)</f>
        <v>1</v>
      </c>
      <c r="F149" s="199"/>
      <c r="G149" s="21"/>
      <c r="H149" s="21"/>
      <c r="I149" s="21"/>
      <c r="J149" s="21"/>
      <c r="K149" s="21"/>
      <c r="L149" s="21"/>
      <c r="M149" s="23"/>
      <c r="T149" s="2"/>
    </row>
    <row r="150" spans="3:20" ht="12.75">
      <c r="D150" s="200"/>
      <c r="E150" s="199"/>
      <c r="F150" s="199"/>
      <c r="G150" s="21"/>
      <c r="H150" s="21"/>
      <c r="I150" s="21"/>
      <c r="J150" s="21"/>
      <c r="K150" s="21"/>
      <c r="L150" s="21"/>
      <c r="M150" s="23"/>
      <c r="T150" s="2"/>
    </row>
    <row r="151" spans="3:20" ht="12.75">
      <c r="C151" s="22" t="s">
        <v>27</v>
      </c>
      <c r="D151" s="181">
        <v>2019</v>
      </c>
      <c r="E151" s="201" t="s">
        <v>12</v>
      </c>
      <c r="F151" s="202"/>
    </row>
    <row r="152" spans="3:20" ht="12.75" customHeight="1">
      <c r="C152" s="20" t="s">
        <v>26</v>
      </c>
      <c r="D152" s="10">
        <f>COUNTIF(J2:J44,"Jan/19")</f>
        <v>7</v>
      </c>
      <c r="E152" s="203">
        <f>D152/D164</f>
        <v>0.19444444444444445</v>
      </c>
      <c r="F152" s="202"/>
    </row>
    <row r="153" spans="3:20" ht="13.5" customHeight="1">
      <c r="C153" s="20" t="s">
        <v>25</v>
      </c>
      <c r="D153" s="10">
        <f>COUNTIF(J2:J44,"Fev/19")</f>
        <v>14</v>
      </c>
      <c r="E153" s="203">
        <f>D153/D164</f>
        <v>0.3888888888888889</v>
      </c>
      <c r="F153" s="202"/>
    </row>
    <row r="154" spans="3:20" ht="12.75">
      <c r="C154" s="20" t="s">
        <v>24</v>
      </c>
      <c r="D154" s="10">
        <f>COUNTIF(J2:J44,"Mar/19")</f>
        <v>5</v>
      </c>
      <c r="E154" s="203">
        <f>D154/D164</f>
        <v>0.1388888888888889</v>
      </c>
      <c r="F154" s="202"/>
      <c r="H154" s="21"/>
    </row>
    <row r="155" spans="3:20" ht="12.75">
      <c r="C155" s="20" t="s">
        <v>23</v>
      </c>
      <c r="D155" s="10">
        <f>COUNTIF(J2:J44,"Abr/19")</f>
        <v>0</v>
      </c>
      <c r="E155" s="203">
        <f>D155/D164</f>
        <v>0</v>
      </c>
      <c r="F155" s="202"/>
    </row>
    <row r="156" spans="3:20" ht="12.75">
      <c r="C156" s="20" t="s">
        <v>22</v>
      </c>
      <c r="D156" s="10">
        <f>COUNTIF(J2:J44,"Mai/19")</f>
        <v>0</v>
      </c>
      <c r="E156" s="203">
        <f>D156/D164</f>
        <v>0</v>
      </c>
      <c r="F156" s="202"/>
    </row>
    <row r="157" spans="3:20" ht="12.75">
      <c r="C157" s="20" t="s">
        <v>21</v>
      </c>
      <c r="D157" s="10">
        <f>COUNTIF(J2:J44,"Jun/19")</f>
        <v>0</v>
      </c>
      <c r="E157" s="203">
        <f>D157/D164</f>
        <v>0</v>
      </c>
      <c r="F157" s="202"/>
    </row>
    <row r="158" spans="3:20" ht="12.75">
      <c r="C158" s="20" t="s">
        <v>20</v>
      </c>
      <c r="D158" s="10">
        <f>COUNTIF(J2:J44,"Jul/18")</f>
        <v>0</v>
      </c>
      <c r="E158" s="203">
        <f>D158/D164</f>
        <v>0</v>
      </c>
      <c r="F158" s="202"/>
    </row>
    <row r="159" spans="3:20" ht="12.75">
      <c r="C159" s="20" t="s">
        <v>19</v>
      </c>
      <c r="D159" s="10">
        <f>COUNTIF(J2:J44,"Ago/17")</f>
        <v>0</v>
      </c>
      <c r="E159" s="203">
        <f>D159/D164</f>
        <v>0</v>
      </c>
      <c r="F159" s="202"/>
    </row>
    <row r="160" spans="3:20" ht="12.75">
      <c r="C160" s="20" t="s">
        <v>18</v>
      </c>
      <c r="D160" s="10">
        <f>COUNTIF(J2:J44,"Set/18")</f>
        <v>1</v>
      </c>
      <c r="E160" s="203">
        <f>D160/D164</f>
        <v>2.7777777777777776E-2</v>
      </c>
      <c r="F160" s="202"/>
    </row>
    <row r="161" spans="3:6" ht="12.75">
      <c r="C161" s="20" t="s">
        <v>17</v>
      </c>
      <c r="D161" s="10">
        <f>COUNTIF(J2:J44,"Out/18")</f>
        <v>7</v>
      </c>
      <c r="E161" s="203">
        <f>D161/D164</f>
        <v>0.19444444444444445</v>
      </c>
      <c r="F161" s="202"/>
    </row>
    <row r="162" spans="3:6" ht="12.75">
      <c r="C162" s="20" t="s">
        <v>16</v>
      </c>
      <c r="D162" s="10">
        <f>COUNTIF(J2:J44,"Nov/18")</f>
        <v>2</v>
      </c>
      <c r="E162" s="203">
        <f>D162/D164</f>
        <v>5.5555555555555552E-2</v>
      </c>
      <c r="F162" s="202"/>
    </row>
    <row r="163" spans="3:6" ht="12.75">
      <c r="C163" s="20" t="s">
        <v>15</v>
      </c>
      <c r="D163" s="10">
        <f>COUNTIF(J2:J44,"Dez/18")</f>
        <v>0</v>
      </c>
      <c r="E163" s="203">
        <f>D163/D164</f>
        <v>0</v>
      </c>
      <c r="F163" s="202"/>
    </row>
    <row r="164" spans="3:6" ht="12.75">
      <c r="C164" s="19" t="s">
        <v>14</v>
      </c>
      <c r="D164" s="197">
        <f>SUM(D152:D163)</f>
        <v>36</v>
      </c>
      <c r="E164" s="204">
        <f>SUM(E152:E163)</f>
        <v>1</v>
      </c>
      <c r="F164" s="205"/>
    </row>
    <row r="165" spans="3:6" ht="12.75">
      <c r="C165" s="15"/>
      <c r="D165" s="202"/>
      <c r="E165" s="202"/>
      <c r="F165" s="202"/>
    </row>
    <row r="166" spans="3:6" ht="12.75">
      <c r="C166" s="16" t="s">
        <v>13</v>
      </c>
      <c r="D166" s="206"/>
      <c r="E166" s="207" t="s">
        <v>12</v>
      </c>
      <c r="F166" s="202"/>
    </row>
    <row r="167" spans="3:6" ht="12.75">
      <c r="C167" s="17" t="s">
        <v>11</v>
      </c>
      <c r="D167" s="208">
        <v>24</v>
      </c>
      <c r="E167" s="203">
        <f>D167/D169</f>
        <v>8.1355932203389825E-2</v>
      </c>
      <c r="F167" s="202"/>
    </row>
    <row r="168" spans="3:6" ht="12.75">
      <c r="C168" s="17" t="s">
        <v>10</v>
      </c>
      <c r="D168" s="209">
        <f>D169-D167</f>
        <v>271</v>
      </c>
      <c r="E168" s="203">
        <f>D168/D169</f>
        <v>0.91864406779661012</v>
      </c>
      <c r="F168" s="202"/>
    </row>
    <row r="169" spans="3:6" ht="12.75">
      <c r="C169" s="16" t="s">
        <v>9</v>
      </c>
      <c r="D169" s="181">
        <v>295</v>
      </c>
      <c r="E169" s="210">
        <f>SUM(E167:E168)</f>
        <v>1</v>
      </c>
      <c r="F169" s="202"/>
    </row>
    <row r="170" spans="3:6" ht="12.75">
      <c r="C170" s="15"/>
      <c r="D170" s="202"/>
      <c r="E170" s="202"/>
      <c r="F170" s="202"/>
    </row>
    <row r="171" spans="3:6" ht="12.75">
      <c r="C171" s="14" t="s">
        <v>8</v>
      </c>
      <c r="D171" s="211"/>
      <c r="E171" s="212"/>
      <c r="F171" s="213"/>
    </row>
    <row r="172" spans="3:6" ht="12.75">
      <c r="C172" s="13" t="s">
        <v>7</v>
      </c>
      <c r="D172" s="10">
        <f>COUNTIF(L4:L45,"1")</f>
        <v>5</v>
      </c>
      <c r="E172" s="214">
        <f>D172/D179</f>
        <v>0.1388888888888889</v>
      </c>
      <c r="F172" s="213"/>
    </row>
    <row r="173" spans="3:6" ht="12.75">
      <c r="C173" s="13" t="s">
        <v>6</v>
      </c>
      <c r="D173" s="10">
        <f>COUNTIF(L4:L45,"2")</f>
        <v>6</v>
      </c>
      <c r="E173" s="214">
        <f>D173/D179</f>
        <v>0.16666666666666666</v>
      </c>
      <c r="F173" s="213"/>
    </row>
    <row r="174" spans="3:6" ht="12.75">
      <c r="C174" s="13" t="s">
        <v>5</v>
      </c>
      <c r="D174" s="10">
        <f>COUNTIF(L4:L45,"3")</f>
        <v>6</v>
      </c>
      <c r="E174" s="214">
        <f>D174/D179</f>
        <v>0.16666666666666666</v>
      </c>
      <c r="F174" s="213"/>
    </row>
    <row r="175" spans="3:6" ht="12.75">
      <c r="C175" s="13" t="s">
        <v>4</v>
      </c>
      <c r="D175" s="10">
        <f>COUNTIF(L4:L45,"4")</f>
        <v>5</v>
      </c>
      <c r="E175" s="214">
        <f>D175/D179</f>
        <v>0.1388888888888889</v>
      </c>
      <c r="F175" s="213"/>
    </row>
    <row r="176" spans="3:6" ht="12.75">
      <c r="C176" s="13" t="s">
        <v>3</v>
      </c>
      <c r="D176" s="10">
        <f>COUNTIF(L4:L45,"5")</f>
        <v>4</v>
      </c>
      <c r="E176" s="214">
        <f>D176/D179</f>
        <v>0.1111111111111111</v>
      </c>
      <c r="F176" s="213"/>
    </row>
    <row r="177" spans="3:6" ht="12.75">
      <c r="C177" s="13" t="s">
        <v>2</v>
      </c>
      <c r="D177" s="10">
        <f>COUNTIF(L4:L45,"6")</f>
        <v>5</v>
      </c>
      <c r="E177" s="214">
        <f>D177/D179</f>
        <v>0.1388888888888889</v>
      </c>
      <c r="F177" s="213"/>
    </row>
    <row r="178" spans="3:6" ht="12.75">
      <c r="C178" s="13" t="s">
        <v>1</v>
      </c>
      <c r="D178" s="10">
        <f>COUNTIF(L4:L45,"7")</f>
        <v>5</v>
      </c>
      <c r="E178" s="214">
        <f>D178/D179</f>
        <v>0.1388888888888889</v>
      </c>
      <c r="F178" s="213"/>
    </row>
    <row r="179" spans="3:6" ht="12.75">
      <c r="C179" s="12" t="s">
        <v>0</v>
      </c>
      <c r="D179" s="181">
        <f>SUM(D172:D178)</f>
        <v>36</v>
      </c>
      <c r="E179" s="210">
        <f>SUM(E172:E178)</f>
        <v>1</v>
      </c>
      <c r="F179" s="213"/>
    </row>
    <row r="180" spans="3:6" ht="12.75"/>
    <row r="181" spans="3:6" ht="12.75"/>
    <row r="182" spans="3:6" ht="12.75"/>
    <row r="183" spans="3:6" ht="12.75"/>
    <row r="184" spans="3:6" ht="12.75"/>
    <row r="185" spans="3:6" ht="12.75"/>
    <row r="186" spans="3:6" ht="12.75"/>
    <row r="187" spans="3:6" ht="12.75"/>
    <row r="188" spans="3:6" ht="12.75"/>
    <row r="189" spans="3:6" ht="12.75"/>
    <row r="190" spans="3:6" ht="12.75"/>
    <row r="191" spans="3:6" ht="12.75"/>
    <row r="192" spans="3:6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  <row r="1007" ht="12.75"/>
    <row r="1008" ht="12.75"/>
    <row r="1009" ht="12.75"/>
    <row r="1010" ht="12.75"/>
    <row r="1011" ht="12.75"/>
    <row r="1012" ht="12.75"/>
    <row r="1013" ht="12.75"/>
    <row r="1014" ht="12.75"/>
    <row r="1015" ht="12.75"/>
    <row r="1016" ht="12.75"/>
    <row r="1017" ht="12.75"/>
    <row r="1018" ht="12.75"/>
    <row r="1019" ht="12.75"/>
    <row r="1020" ht="12.75"/>
    <row r="1021" ht="12.75"/>
    <row r="1022" ht="12.75"/>
    <row r="1023" ht="12.75"/>
    <row r="1024" ht="12.75"/>
    <row r="1025" ht="12.75"/>
    <row r="1026" ht="12.75"/>
    <row r="1027" ht="12.75"/>
    <row r="1028" ht="12.75"/>
    <row r="1029" ht="12.75"/>
    <row r="1030" ht="12.75"/>
    <row r="1031" ht="12.75"/>
    <row r="1032" ht="12.75"/>
    <row r="1033" ht="12.75"/>
    <row r="1034" ht="12.75"/>
    <row r="1035" ht="12.75"/>
    <row r="1036" ht="12.75"/>
    <row r="1037" ht="12.75"/>
    <row r="1038" ht="12.75"/>
    <row r="1039" ht="12.75"/>
    <row r="1040" ht="12.75"/>
    <row r="1041" ht="12.75"/>
    <row r="1042" ht="12.75"/>
    <row r="1043" ht="12.75"/>
    <row r="1044" ht="12.75"/>
    <row r="1045" ht="12.75"/>
    <row r="1046" ht="12.75"/>
    <row r="1047" ht="12.75"/>
    <row r="1048" ht="12.75"/>
    <row r="1049" ht="12.75"/>
    <row r="1050" ht="12.75"/>
    <row r="1051" ht="12.75"/>
    <row r="1052" ht="12.75"/>
    <row r="1053" ht="12.75"/>
    <row r="1054" ht="12.75"/>
    <row r="1055" ht="12.75"/>
    <row r="1056" ht="12.75"/>
    <row r="1057" ht="12.75"/>
    <row r="1058" ht="12.75"/>
    <row r="1059" ht="12.75"/>
    <row r="1060" ht="12.75"/>
    <row r="1061" ht="12.75"/>
    <row r="1062" ht="12.75"/>
    <row r="1063" ht="12.75"/>
    <row r="1064" ht="12.75"/>
    <row r="1065" ht="12.75"/>
    <row r="1066" ht="12.75"/>
    <row r="1067" ht="12.75"/>
    <row r="1068" ht="12.75"/>
    <row r="1069" ht="12.75"/>
    <row r="1070" ht="12.75"/>
    <row r="1071" ht="12.75"/>
    <row r="1072" ht="12.75"/>
    <row r="1073" ht="12.75"/>
    <row r="1074" ht="12.75"/>
    <row r="1075" ht="12.75"/>
    <row r="1076" ht="12.75"/>
    <row r="1077" ht="12.75"/>
    <row r="1078" ht="12.75"/>
    <row r="1079" ht="12.75"/>
    <row r="1080" ht="12.75"/>
    <row r="1081" ht="12.75"/>
    <row r="1082" ht="12.75"/>
    <row r="1083" ht="12.75"/>
    <row r="1084" ht="12.75"/>
    <row r="1085" ht="12.75"/>
    <row r="1086" ht="12.75"/>
    <row r="1087" ht="12.75"/>
    <row r="1088" ht="12.75"/>
    <row r="1089" ht="12.75"/>
    <row r="1090" ht="12.75"/>
    <row r="1091" ht="12.75"/>
    <row r="1092" ht="12.75"/>
    <row r="1093" ht="12.75"/>
    <row r="1094" ht="12.75"/>
    <row r="1095" ht="12.75"/>
    <row r="1096" ht="12.75"/>
    <row r="1097" ht="12.75"/>
    <row r="1098" ht="12.75"/>
    <row r="1099" ht="12.75"/>
    <row r="1100" ht="12.75"/>
    <row r="1101" ht="12.75"/>
    <row r="1102" ht="12.75"/>
    <row r="1103" ht="12.75"/>
    <row r="1104" ht="12.75"/>
    <row r="1105" ht="12.75"/>
    <row r="1106" ht="12.75"/>
    <row r="1107" ht="12.75"/>
    <row r="1108" ht="12.75"/>
    <row r="1109" ht="12.75"/>
    <row r="1110" ht="12.75"/>
    <row r="1111" ht="12.75"/>
    <row r="1112" ht="12.75"/>
    <row r="1113" ht="12.75"/>
    <row r="1114" ht="12.75"/>
    <row r="1115" ht="12.75"/>
    <row r="1116" ht="12.75"/>
    <row r="1117" ht="12.75"/>
    <row r="1118" ht="12.75"/>
    <row r="1119" ht="12.75"/>
    <row r="1120" ht="12.75"/>
    <row r="1121" ht="12.75"/>
    <row r="1122" ht="12.75"/>
    <row r="1123" ht="12.75"/>
    <row r="1124" ht="12.75"/>
    <row r="1125" ht="12.75"/>
    <row r="1126" ht="12.75"/>
    <row r="1127" ht="12.75"/>
    <row r="1128" ht="12.75"/>
    <row r="1129" ht="12.75"/>
    <row r="1130" ht="12.75"/>
    <row r="1131" ht="12.75"/>
    <row r="1132" ht="12.75"/>
    <row r="1133" ht="12.75"/>
    <row r="1134" ht="12.75"/>
    <row r="1135" ht="12.75"/>
    <row r="1136" ht="12.75"/>
    <row r="1137" ht="12.75"/>
    <row r="1138" ht="12.75"/>
    <row r="1139" ht="12.75"/>
    <row r="1140" ht="12.75"/>
    <row r="1141" ht="12.75"/>
    <row r="1142" ht="12.75"/>
    <row r="1143" ht="12.75"/>
    <row r="1144" ht="12.75"/>
    <row r="1145" ht="12.75"/>
    <row r="1146" ht="12.75"/>
    <row r="1147" ht="12.75"/>
    <row r="1148" ht="12.75"/>
    <row r="1149" ht="12.75"/>
    <row r="1150" ht="12.75"/>
    <row r="1151" ht="12.75"/>
    <row r="1152" ht="12.75"/>
    <row r="1153" ht="12.75"/>
    <row r="1154" ht="12.75"/>
    <row r="1155" ht="12.75"/>
    <row r="1156" ht="12.75"/>
    <row r="1157" ht="12.75"/>
    <row r="1158" ht="12.75"/>
    <row r="1159" ht="12.75"/>
    <row r="1160" ht="12.75"/>
    <row r="1161" ht="12.75"/>
    <row r="1162" ht="12.75"/>
    <row r="1163" ht="12.75"/>
    <row r="1164" ht="12.75"/>
    <row r="1165" ht="12.75"/>
    <row r="1166" ht="12.75"/>
    <row r="1167" ht="12.75"/>
    <row r="1168" ht="12.75"/>
    <row r="1169" ht="12.75"/>
    <row r="1170" ht="12.75"/>
    <row r="1171" ht="12.75"/>
    <row r="1172" ht="12.75"/>
    <row r="1173" ht="12.75"/>
    <row r="1174" ht="12.75"/>
    <row r="1175" ht="12.75"/>
    <row r="1176" ht="12.75"/>
    <row r="1177" ht="12.75"/>
    <row r="1178" ht="12.75"/>
    <row r="1179" ht="12.75"/>
    <row r="1180" ht="12.75"/>
    <row r="1181" ht="12.75"/>
    <row r="1182" ht="12.75"/>
    <row r="1183" ht="12.75"/>
    <row r="1184" ht="12.75"/>
    <row r="1185" ht="12.75"/>
    <row r="1186" ht="12.75"/>
    <row r="1187" ht="12.75"/>
    <row r="1188" ht="12.75"/>
    <row r="1189" ht="12.75"/>
    <row r="1190" ht="12.75"/>
    <row r="1191" ht="12.75"/>
    <row r="1192" ht="12.75"/>
    <row r="1193" ht="12.75"/>
    <row r="1194" ht="12.75"/>
    <row r="1195" ht="12.75"/>
    <row r="1196" ht="12.75"/>
    <row r="1197" ht="12.75"/>
    <row r="1198" ht="12.75"/>
    <row r="1199" ht="12.75"/>
    <row r="1200" ht="12.75"/>
    <row r="1201" ht="12.75"/>
    <row r="1202" ht="12.75"/>
    <row r="1203" ht="12.75"/>
    <row r="1204" ht="12.75"/>
    <row r="1205" ht="12.75"/>
    <row r="1206" ht="12.75"/>
    <row r="1207" ht="12.75"/>
    <row r="1208" ht="12.75"/>
    <row r="1209" ht="12.75"/>
    <row r="1210" ht="12.75"/>
    <row r="1211" ht="12.75"/>
    <row r="1212" ht="12.75"/>
    <row r="1213" ht="12.75"/>
    <row r="1214" ht="12.75"/>
    <row r="1215" ht="12.75"/>
    <row r="1216" ht="12.75"/>
    <row r="1217" ht="12.75"/>
    <row r="1218" ht="12.75"/>
    <row r="1219" ht="12.75"/>
    <row r="1220" ht="12.75"/>
    <row r="1221" ht="12.75"/>
    <row r="1222" ht="12.75"/>
    <row r="1223" ht="12.75"/>
    <row r="1224" ht="12.75"/>
    <row r="1225" ht="12.75"/>
    <row r="1226" ht="12.75"/>
    <row r="1227" ht="12.75"/>
    <row r="1228" ht="12.75"/>
    <row r="1229" ht="12.75"/>
    <row r="1230" ht="12.75"/>
    <row r="1231" ht="12.75"/>
    <row r="1232" ht="12.75"/>
    <row r="1233" ht="12.75"/>
    <row r="1234" ht="12.75"/>
    <row r="1235" ht="12.75"/>
    <row r="1236" ht="12.75"/>
    <row r="1237" ht="12.75"/>
    <row r="1238" ht="12.75"/>
    <row r="1239" ht="12.75"/>
    <row r="1240" ht="12.75"/>
    <row r="1241" ht="12.75"/>
    <row r="1242" ht="12.75"/>
    <row r="1243" ht="12.75"/>
    <row r="1244" ht="12.75"/>
    <row r="1245" ht="12.75"/>
    <row r="1246" ht="12.75"/>
    <row r="1247" ht="12.75"/>
    <row r="1248" ht="12.75"/>
    <row r="1249" ht="12.75"/>
    <row r="1250" ht="12.75"/>
    <row r="1251" ht="12.75"/>
    <row r="1252" ht="12.75"/>
    <row r="1253" ht="12.75"/>
    <row r="1254" ht="12.75"/>
    <row r="1255" ht="12.75"/>
    <row r="1256" ht="12.75"/>
    <row r="1257" ht="12.75"/>
    <row r="1258" ht="12.75"/>
    <row r="1259" ht="12.75"/>
    <row r="1260" ht="12.75"/>
    <row r="1261" ht="12.75"/>
    <row r="1262" ht="12.75"/>
    <row r="1263" ht="12.75"/>
    <row r="1264" ht="12.75"/>
    <row r="1265" ht="12.75"/>
    <row r="1266" ht="12.75"/>
    <row r="1267" ht="12.75"/>
    <row r="1268" ht="12.75"/>
    <row r="1269" ht="12.75"/>
    <row r="1270" ht="12.75"/>
    <row r="1271" ht="12.75"/>
    <row r="1272" ht="12.75"/>
    <row r="1273" ht="12.75"/>
    <row r="1274" ht="12.75"/>
    <row r="1275" ht="12.75"/>
    <row r="1276" ht="12.75"/>
    <row r="1277" ht="12.75"/>
    <row r="1278" ht="12.75"/>
    <row r="1279" ht="12.75"/>
    <row r="1280" ht="12.75"/>
    <row r="1281" ht="12.75"/>
    <row r="1282" ht="12.75"/>
    <row r="1283" ht="12.75"/>
    <row r="1284" ht="12.75"/>
    <row r="1285" ht="12.75"/>
    <row r="1286" ht="12.75"/>
    <row r="1287" ht="12.75"/>
    <row r="1288" ht="12.75"/>
    <row r="1289" ht="12.75"/>
    <row r="1290" ht="12.75"/>
    <row r="1291" ht="12.75"/>
    <row r="1292" ht="12.75"/>
    <row r="1293" ht="12.75"/>
    <row r="1294" ht="12.75"/>
    <row r="1295" ht="12.75"/>
    <row r="1296" ht="12.75"/>
    <row r="1297" ht="12.75"/>
    <row r="1298" ht="12.75"/>
    <row r="1299" ht="12.75"/>
    <row r="1300" ht="12.75"/>
    <row r="1301" ht="12.75"/>
    <row r="1302" ht="12.75"/>
    <row r="1303" ht="12.75"/>
    <row r="1304" ht="12.75"/>
    <row r="1305" ht="12.75"/>
    <row r="1306" ht="12.75"/>
    <row r="1307" ht="12.75"/>
    <row r="1308" ht="12.75"/>
    <row r="1309" ht="12.75"/>
    <row r="1310" ht="12.75"/>
    <row r="1311" ht="12.75"/>
    <row r="1312" ht="12.75"/>
    <row r="1313" ht="12.75"/>
    <row r="1314" ht="12.75"/>
    <row r="1315" ht="12.75"/>
    <row r="1316" ht="12.75"/>
    <row r="1317" ht="12.75"/>
    <row r="1318" ht="12.75"/>
    <row r="1319" ht="12.75"/>
    <row r="1320" ht="12.75"/>
    <row r="1321" ht="12.75"/>
    <row r="1322" ht="12.75"/>
    <row r="1323" ht="12.75"/>
    <row r="1324" ht="12.75"/>
    <row r="1325" ht="12.75"/>
    <row r="1326" ht="12.75"/>
    <row r="1327" ht="12.75"/>
    <row r="1328" ht="12.75"/>
    <row r="1329" ht="12.75"/>
    <row r="1330" ht="12.75"/>
    <row r="1331" ht="12.75"/>
    <row r="1332" ht="12.75"/>
    <row r="1333" ht="12.75"/>
    <row r="1334" ht="12.75"/>
    <row r="1335" ht="12.75"/>
    <row r="1336" ht="12.75"/>
    <row r="1337" ht="12.75"/>
    <row r="1338" ht="12.75"/>
    <row r="1339" ht="12.75"/>
    <row r="1340" ht="12.75"/>
    <row r="1341" ht="12.75"/>
    <row r="1342" ht="12.75"/>
    <row r="1343" ht="12.75"/>
    <row r="1344" ht="12.75"/>
    <row r="1345" ht="12.75"/>
    <row r="1346" ht="12.75"/>
    <row r="1347" ht="12.75"/>
    <row r="1348" ht="12.75"/>
    <row r="1349" ht="12.75"/>
    <row r="1350" ht="12.75"/>
    <row r="1351" ht="12.75"/>
    <row r="1352" ht="12.75"/>
    <row r="1353" ht="12.75"/>
    <row r="1354" ht="12.75"/>
    <row r="1355" ht="12.75"/>
    <row r="1356" ht="12.75"/>
    <row r="1357" ht="12.75"/>
    <row r="1358" ht="12.75"/>
    <row r="1359" ht="12.75"/>
    <row r="1360" ht="12.75"/>
    <row r="1361" ht="12.75"/>
    <row r="1362" ht="12.75"/>
    <row r="1363" ht="12.75"/>
    <row r="1364" ht="12.75"/>
    <row r="1365" ht="12.75"/>
    <row r="1366" ht="12.75"/>
    <row r="1367" ht="12.75"/>
    <row r="1368" ht="12.75"/>
    <row r="1369" ht="12.75"/>
    <row r="1370" ht="12.75"/>
    <row r="1371" ht="12.75"/>
    <row r="1372" ht="12.75"/>
    <row r="1373" ht="12.75"/>
    <row r="1374" ht="12.75"/>
    <row r="1375" ht="12.75"/>
    <row r="1376" ht="12.75"/>
    <row r="1377" ht="12.75"/>
    <row r="1378" ht="12.75"/>
    <row r="1379" ht="12.75"/>
    <row r="1380" ht="12.75"/>
    <row r="1381" ht="12.75"/>
    <row r="1382" ht="12.75"/>
    <row r="1383" ht="12.75"/>
    <row r="1384" ht="12.75"/>
    <row r="1385" ht="12.75"/>
    <row r="1386" ht="12.75"/>
    <row r="1387" ht="12.75"/>
    <row r="1388" ht="12.75"/>
    <row r="1389" ht="12.75"/>
    <row r="1390" ht="12.75"/>
    <row r="1391" ht="12.75"/>
    <row r="1392" ht="12.75"/>
    <row r="1393" ht="12.75"/>
    <row r="1394" ht="12.75"/>
    <row r="1395" ht="12.75"/>
    <row r="1396" ht="12.75"/>
    <row r="1397" ht="12.75"/>
    <row r="1398" ht="12.75"/>
    <row r="1399" ht="12.75"/>
    <row r="1400" ht="12.75"/>
    <row r="1401" ht="12.75"/>
    <row r="1402" ht="12.75"/>
    <row r="1403" ht="12.75"/>
    <row r="1404" ht="12.75"/>
    <row r="1405" ht="12.75"/>
    <row r="1406" ht="12.75"/>
    <row r="1407" ht="12.75"/>
    <row r="1408" ht="12.75"/>
    <row r="1409" ht="12.75"/>
    <row r="1410" ht="12.75"/>
    <row r="1411" ht="12.75"/>
    <row r="1412" ht="12.75"/>
    <row r="1413" ht="12.75"/>
    <row r="1414" ht="12.75"/>
    <row r="1415" ht="12.75"/>
    <row r="1416" ht="12.75"/>
    <row r="1417" ht="12.75"/>
    <row r="1418" ht="12.75"/>
    <row r="1419" ht="12.75"/>
    <row r="1420" ht="12.75"/>
    <row r="1421" ht="12.75"/>
    <row r="1422" ht="12.75"/>
    <row r="1423" ht="12.75"/>
    <row r="1424" ht="12.75"/>
    <row r="1425" ht="12.75"/>
    <row r="1426" ht="12.75"/>
    <row r="1427" ht="12.75"/>
    <row r="1428" ht="12.75"/>
    <row r="1429" ht="12.75"/>
    <row r="1430" ht="12.75"/>
    <row r="1431" ht="12.75"/>
    <row r="1432" ht="12.75"/>
    <row r="1433" ht="12.75"/>
    <row r="1434" ht="12.75"/>
    <row r="1435" ht="12.75"/>
    <row r="1436" ht="12.75"/>
    <row r="1437" ht="12.75"/>
    <row r="1438" ht="12.75"/>
    <row r="1439" ht="12.75"/>
    <row r="1440" ht="12.75"/>
    <row r="1441" ht="12.75"/>
    <row r="1442" ht="12.75"/>
    <row r="1443" ht="12.75"/>
    <row r="1444" ht="12.75"/>
    <row r="1445" ht="12.75"/>
    <row r="1446" ht="12.75"/>
    <row r="1447" ht="12.75"/>
    <row r="1448" ht="12.75"/>
    <row r="1449" ht="12.75"/>
    <row r="1450" ht="12.75"/>
    <row r="1451" ht="12.75"/>
    <row r="1452" ht="12.75"/>
    <row r="1453" ht="12.75"/>
    <row r="1454" ht="12.75"/>
    <row r="1455" ht="12.75"/>
    <row r="1456" ht="12.75"/>
    <row r="1457" ht="12.75"/>
    <row r="1458" ht="12.75"/>
    <row r="1459" ht="12.75"/>
    <row r="1460" ht="12.75"/>
    <row r="1461" ht="12.75"/>
    <row r="1462" ht="12.75"/>
    <row r="1463" ht="12.75"/>
    <row r="1464" ht="12.75"/>
    <row r="1465" ht="12.75"/>
    <row r="1466" ht="12.75"/>
    <row r="1467" ht="12.75"/>
    <row r="1468" ht="12.75"/>
    <row r="1469" ht="12.75"/>
    <row r="1470" ht="12.75"/>
    <row r="1471" ht="12.75"/>
    <row r="1472" ht="12.75"/>
    <row r="1473" ht="12.75"/>
    <row r="1474" ht="12.75"/>
    <row r="1475" ht="12.75"/>
    <row r="1476" ht="12.75"/>
    <row r="1477" ht="12.75"/>
    <row r="1478" ht="12.75"/>
    <row r="1479" ht="12.75"/>
    <row r="1480" ht="12.75"/>
    <row r="1481" ht="12.75"/>
    <row r="1482" ht="12.75"/>
    <row r="1483" ht="12.75"/>
    <row r="1484" ht="12.75"/>
    <row r="1485" ht="12.75"/>
    <row r="1486" ht="12.75"/>
    <row r="1487" ht="12.75"/>
    <row r="1488" ht="12.75"/>
    <row r="1489" ht="12.75"/>
    <row r="1490" ht="12.75"/>
    <row r="1491" ht="12.75"/>
    <row r="1492" ht="12.75"/>
    <row r="1493" ht="12.75"/>
    <row r="1494" ht="12.75"/>
    <row r="1495" ht="12.75"/>
    <row r="1496" ht="12.75"/>
    <row r="1497" ht="12.75"/>
    <row r="1498" ht="12.75"/>
    <row r="1499" ht="12.75"/>
    <row r="1500" ht="12.75"/>
    <row r="1501" ht="12.75"/>
    <row r="1502" ht="12.75"/>
    <row r="1503" ht="12.75"/>
    <row r="1504" ht="12.75"/>
    <row r="1505" ht="12.75"/>
    <row r="1506" ht="12.75"/>
    <row r="1507" ht="12.75"/>
    <row r="1508" ht="12.75"/>
    <row r="1509" ht="12.75"/>
    <row r="1510" ht="12.75"/>
    <row r="1511" ht="12.75"/>
    <row r="1512" ht="12.75"/>
    <row r="1513" ht="12.75"/>
    <row r="1514" ht="12.75"/>
    <row r="1515" ht="12.75"/>
    <row r="1516" ht="12.75"/>
    <row r="1517" ht="12.75"/>
    <row r="1518" ht="12.75"/>
    <row r="1519" ht="12.75"/>
    <row r="1520" ht="12.75"/>
    <row r="1521" ht="12.75"/>
    <row r="1522" ht="12.75"/>
    <row r="1523" ht="12.75"/>
    <row r="1524" ht="12.75"/>
    <row r="1525" ht="12.75"/>
    <row r="1526" ht="12.75"/>
    <row r="1527" ht="12.75"/>
    <row r="1528" ht="12.75"/>
    <row r="1529" ht="12.75"/>
    <row r="1530" ht="12.75"/>
    <row r="1531" ht="12.75"/>
    <row r="1532" ht="12.75"/>
    <row r="1533" ht="12.75"/>
    <row r="1534" ht="12.75"/>
    <row r="1535" ht="12.75"/>
    <row r="1536" ht="12.75"/>
    <row r="1537" ht="12.75"/>
    <row r="1538" ht="12.75"/>
    <row r="1539" ht="12.75"/>
    <row r="1540" ht="12.75"/>
    <row r="1541" ht="12.75"/>
    <row r="1542" ht="12.75"/>
    <row r="1543" ht="12.75"/>
    <row r="1544" ht="12.75"/>
    <row r="1545" ht="12.75"/>
    <row r="1546" ht="12.75"/>
    <row r="1547" ht="12.75"/>
    <row r="1548" ht="12.75"/>
    <row r="1549" ht="12.75"/>
    <row r="1550" ht="12.75"/>
    <row r="1551" ht="12.75"/>
    <row r="1552" ht="12.75"/>
    <row r="1553" ht="12.75"/>
    <row r="1554" ht="12.75"/>
    <row r="1555" ht="12.75"/>
    <row r="1556" ht="12.75"/>
    <row r="1557" ht="12.75"/>
    <row r="1558" ht="12.75"/>
    <row r="1559" ht="12.75"/>
    <row r="1560" ht="12.75"/>
    <row r="1561" ht="12.75"/>
    <row r="1562" ht="12.75"/>
    <row r="1563" ht="12.75"/>
    <row r="1564" ht="12.75"/>
    <row r="1565" ht="12.75"/>
    <row r="1566" ht="12.75"/>
    <row r="1567" ht="12.75"/>
    <row r="1568" ht="12.75"/>
    <row r="1569" ht="12.75"/>
    <row r="1570" ht="12.75"/>
    <row r="1571" ht="12.75"/>
    <row r="1572" ht="12.75"/>
    <row r="1573" ht="12.75"/>
    <row r="1574" ht="12.75"/>
    <row r="1575" ht="12.75"/>
    <row r="1576" ht="12.75"/>
    <row r="1577" ht="12.75"/>
    <row r="1578" ht="12.75"/>
    <row r="1579" ht="12.75"/>
    <row r="1580" ht="12.75"/>
    <row r="1581" ht="12.75"/>
    <row r="1582" ht="12.75"/>
    <row r="1583" ht="12.75"/>
    <row r="1584" ht="12.75"/>
    <row r="1585" ht="12.75"/>
    <row r="1586" ht="12.75"/>
    <row r="1587" ht="12.75"/>
    <row r="1588" ht="12.75"/>
    <row r="1589" ht="12.75"/>
    <row r="1590" ht="12.75"/>
    <row r="1591" ht="12.75"/>
    <row r="1592" ht="12.75"/>
    <row r="1593" ht="12.75"/>
    <row r="1594" ht="12.75"/>
    <row r="1595" ht="12.75"/>
    <row r="1596" ht="12.75"/>
    <row r="1597" ht="12.75"/>
    <row r="1598" ht="12.75"/>
    <row r="1599" ht="12.75"/>
    <row r="1600" ht="12.75"/>
    <row r="1601" ht="12.75"/>
    <row r="1602" ht="12.75"/>
    <row r="1603" ht="12.75"/>
    <row r="1604" ht="12.75"/>
    <row r="1605" ht="12.75"/>
    <row r="1606" ht="12.75"/>
    <row r="1607" ht="12.75"/>
    <row r="1608" ht="12.75"/>
    <row r="1609" ht="12.75"/>
    <row r="1610" ht="12.75"/>
    <row r="1611" ht="12.75"/>
    <row r="1612" ht="12.75"/>
    <row r="1613" ht="12.75"/>
    <row r="1614" ht="12.75"/>
    <row r="1615" ht="12.75"/>
    <row r="1616" ht="12.75"/>
    <row r="1617" ht="12.75"/>
    <row r="1618" ht="12.75"/>
    <row r="1619" ht="12.75"/>
    <row r="1620" ht="12.75"/>
    <row r="1621" ht="12.75"/>
    <row r="1622" ht="12.75"/>
    <row r="1623" ht="12.75"/>
    <row r="1624" ht="12.75"/>
    <row r="1625" ht="12.75"/>
    <row r="1626" ht="12.75"/>
    <row r="1627" ht="12.75"/>
    <row r="1628" ht="12.75"/>
    <row r="1629" ht="12.75"/>
    <row r="1630" ht="12.75"/>
    <row r="1631" ht="12.75"/>
    <row r="1632" ht="12.75"/>
    <row r="1633" ht="12.75"/>
    <row r="1634" ht="12.75"/>
    <row r="1635" ht="12.75"/>
    <row r="1636" ht="12.75"/>
    <row r="1637" ht="12.75"/>
    <row r="1638" ht="12.75"/>
    <row r="1639" ht="12.75"/>
    <row r="1640" ht="12.75"/>
    <row r="1641" ht="12.75"/>
    <row r="1642" ht="12.75"/>
    <row r="1643" ht="12.75"/>
    <row r="1644" ht="12.75"/>
    <row r="1645" ht="12.75"/>
    <row r="1646" ht="12.75"/>
    <row r="1647" ht="12.75"/>
    <row r="1648" ht="12.75"/>
    <row r="1649" ht="12.75"/>
    <row r="1650" ht="12.75"/>
    <row r="1651" ht="12.75"/>
    <row r="1652" ht="12.75"/>
    <row r="1653" ht="12.75"/>
    <row r="1654" ht="12.75"/>
    <row r="1655" ht="12.75"/>
    <row r="1656" ht="12.75"/>
    <row r="1657" ht="12.75"/>
    <row r="1658" ht="12.75"/>
    <row r="1659" ht="12.75"/>
    <row r="1660" ht="12.75"/>
    <row r="1661" ht="12.75"/>
    <row r="1662" ht="12.75"/>
    <row r="1663" ht="12.75"/>
    <row r="1664" ht="12.75"/>
    <row r="1665" ht="12.75"/>
    <row r="1666" ht="12.75"/>
    <row r="1667" ht="12.75"/>
    <row r="1668" ht="12.75"/>
    <row r="1669" ht="12.75"/>
    <row r="1670" ht="12.75"/>
    <row r="1671" ht="12.75"/>
    <row r="1672" ht="12.75"/>
    <row r="1673" ht="12.75"/>
    <row r="1674" ht="12.75"/>
    <row r="1675" ht="12.75"/>
    <row r="1676" ht="12.75"/>
    <row r="1677" ht="12.75"/>
    <row r="1678" ht="12.75"/>
    <row r="1679" ht="12.75"/>
    <row r="1680" ht="12.75"/>
    <row r="1681" ht="12.75"/>
    <row r="1682" ht="12.75"/>
    <row r="1683" ht="12.75"/>
    <row r="1684" ht="12.75"/>
    <row r="1685" ht="12.75"/>
    <row r="1686" ht="12.75"/>
    <row r="1687" ht="12.75"/>
    <row r="1688" ht="12.75"/>
    <row r="1689" ht="12.75"/>
    <row r="1690" ht="12.75"/>
    <row r="1691" ht="12.75"/>
    <row r="1692" ht="12.75"/>
    <row r="1693" ht="12.75"/>
    <row r="1694" ht="12.75"/>
    <row r="1695" ht="12.75"/>
    <row r="1696" ht="12.75"/>
    <row r="1697" ht="12.75"/>
    <row r="1698" ht="12.75"/>
    <row r="1699" ht="12.75"/>
    <row r="1700" ht="12.75"/>
    <row r="1701" ht="12.75"/>
    <row r="1702" ht="12.75"/>
    <row r="1703" ht="12.75"/>
    <row r="1704" ht="12.75"/>
    <row r="1705" ht="12.75"/>
    <row r="1706" ht="12.75"/>
    <row r="1707" ht="12.75"/>
    <row r="1708" ht="12.75"/>
    <row r="1709" ht="12.75"/>
    <row r="1710" ht="12.75"/>
    <row r="1711" ht="12.75"/>
    <row r="1712" ht="12.75"/>
    <row r="1713" ht="12.75"/>
    <row r="1714" ht="12.75"/>
    <row r="1715" ht="12.75"/>
    <row r="1716" ht="12.75"/>
    <row r="1717" ht="12.75"/>
    <row r="1718" ht="12.75"/>
    <row r="1719" ht="12.75"/>
    <row r="1720" ht="12.75"/>
    <row r="1721" ht="12.75"/>
    <row r="1722" ht="12.75"/>
    <row r="1723" ht="12.75"/>
    <row r="1724" ht="12.75"/>
    <row r="1725" ht="12.75"/>
    <row r="1726" ht="12.75"/>
    <row r="1727" ht="12.75"/>
    <row r="1728" ht="12.75"/>
    <row r="1729" ht="12.75"/>
    <row r="1730" ht="12.75"/>
    <row r="1731" ht="12.75"/>
    <row r="1732" ht="12.75"/>
    <row r="1733" ht="12.75"/>
    <row r="1734" ht="12.75"/>
    <row r="1735" ht="12.75"/>
    <row r="1736" ht="12.75"/>
    <row r="1737" ht="12.75"/>
    <row r="1738" ht="12.75"/>
    <row r="1739" ht="12.75"/>
    <row r="1740" ht="12.75"/>
    <row r="1741" ht="12.75"/>
    <row r="1742" ht="12.75"/>
    <row r="1743" ht="12.75"/>
    <row r="1744" ht="12.75"/>
    <row r="1745" ht="12.75"/>
    <row r="1746" ht="12.75"/>
    <row r="1747" ht="12.75"/>
    <row r="1748" ht="12.75"/>
    <row r="1749" ht="12.75"/>
    <row r="1750" ht="12.75"/>
    <row r="1751" ht="12.75"/>
    <row r="1752" ht="12.75"/>
    <row r="1753" ht="12.75"/>
    <row r="1754" ht="12.75"/>
    <row r="1755" ht="12.75"/>
    <row r="1756" ht="12.75"/>
    <row r="1757" ht="12.75"/>
    <row r="1758" ht="12.75"/>
    <row r="1759" ht="12.75"/>
    <row r="1760" ht="12.75"/>
    <row r="1761" ht="12.75"/>
    <row r="1762" ht="12.75"/>
    <row r="1763" ht="12.75"/>
    <row r="1764" ht="12.75"/>
    <row r="1765" ht="12.75"/>
    <row r="1766" ht="12.75"/>
    <row r="1767" ht="12.75"/>
    <row r="1768" ht="12.75"/>
    <row r="1769" ht="12.75"/>
    <row r="1770" ht="12.75"/>
    <row r="1771" ht="12.75"/>
    <row r="1772" ht="12.75"/>
    <row r="1773" ht="12.75"/>
    <row r="1774" ht="12.75"/>
    <row r="1775" ht="12.75"/>
    <row r="1776" ht="12.75"/>
    <row r="1777" ht="12.75"/>
    <row r="1778" ht="12.75"/>
    <row r="1779" ht="12.75"/>
    <row r="1780" ht="12.75"/>
    <row r="1781" ht="12.75"/>
    <row r="1782" ht="12.75"/>
    <row r="1783" ht="12.75"/>
    <row r="1784" ht="12.75"/>
    <row r="1785" ht="12.75"/>
    <row r="1786" ht="12.75"/>
    <row r="1787" ht="12.75"/>
    <row r="1788" ht="12.75"/>
    <row r="1789" ht="12.75"/>
    <row r="1790" ht="12.75"/>
    <row r="1791" ht="12.75"/>
    <row r="1792" ht="12.75"/>
    <row r="1793" ht="12.75"/>
    <row r="1794" ht="12.75"/>
    <row r="1795" ht="12.75"/>
    <row r="1796" ht="12.75"/>
    <row r="1797" ht="12.75"/>
    <row r="1798" ht="12.75"/>
    <row r="1799" ht="12.75"/>
    <row r="1800" ht="12.75"/>
    <row r="1801" ht="12.75"/>
    <row r="1802" ht="12.75"/>
    <row r="1803" ht="12.75"/>
    <row r="1804" ht="12.75"/>
    <row r="1805" ht="12.75"/>
    <row r="1806" ht="12.75"/>
    <row r="1807" ht="12.75"/>
    <row r="1808" ht="12.75"/>
    <row r="1809" ht="12.75"/>
    <row r="1810" ht="12.75"/>
    <row r="1811" ht="12.75"/>
    <row r="1812" ht="12.75"/>
    <row r="1813" ht="12.75"/>
    <row r="1814" ht="12.75"/>
    <row r="1815" ht="12.75"/>
    <row r="1816" ht="12.75"/>
    <row r="1817" ht="12.75"/>
    <row r="1818" ht="12.75"/>
    <row r="1819" ht="12.75"/>
    <row r="1820" ht="12.75"/>
    <row r="1821" ht="12.75"/>
    <row r="1822" ht="12.75"/>
    <row r="1823" ht="12.75"/>
    <row r="1824" ht="12.75"/>
    <row r="1825" ht="12.75"/>
    <row r="1826" ht="12.75"/>
    <row r="1827" ht="12.75"/>
    <row r="1828" ht="12.75"/>
    <row r="1829" ht="12.75"/>
  </sheetData>
  <sheetProtection password="921A" sheet="1" objects="1" scenarios="1"/>
  <autoFilter ref="A3:AF40">
    <sortState ref="A5:AF35">
      <sortCondition sortBy="cellColor" ref="B3:B35" dxfId="30"/>
    </sortState>
  </autoFilter>
  <mergeCells count="21">
    <mergeCell ref="F2:F3"/>
    <mergeCell ref="AE2:AE3"/>
    <mergeCell ref="Y2:AD2"/>
    <mergeCell ref="AF2:AF3"/>
    <mergeCell ref="A2:A3"/>
    <mergeCell ref="B2:B3"/>
    <mergeCell ref="C2:C3"/>
    <mergeCell ref="D2:D3"/>
    <mergeCell ref="E2:E3"/>
    <mergeCell ref="V2:X2"/>
    <mergeCell ref="L2:L3"/>
    <mergeCell ref="N2:N3"/>
    <mergeCell ref="U2:U3"/>
    <mergeCell ref="P2:T2"/>
    <mergeCell ref="O2:O3"/>
    <mergeCell ref="M2:M3"/>
    <mergeCell ref="H2:H3"/>
    <mergeCell ref="G2:G3"/>
    <mergeCell ref="I2:I3"/>
    <mergeCell ref="J2:J3"/>
    <mergeCell ref="K2:K3"/>
  </mergeCells>
  <conditionalFormatting sqref="M72 M40:M44">
    <cfRule type="cellIs" dxfId="29" priority="69" stopIfTrue="1" operator="lessThan">
      <formula>#REF!</formula>
    </cfRule>
    <cfRule type="cellIs" dxfId="28" priority="70" stopIfTrue="1" operator="greaterThan">
      <formula>#REF!</formula>
    </cfRule>
  </conditionalFormatting>
  <conditionalFormatting sqref="M37 M13:M15 M4 M9:M10 M17:M21">
    <cfRule type="cellIs" dxfId="27" priority="67" stopIfTrue="1" operator="lessThan">
      <formula>#REF!</formula>
    </cfRule>
    <cfRule type="cellIs" dxfId="26" priority="68" stopIfTrue="1" operator="greaterThan">
      <formula>#REF!</formula>
    </cfRule>
  </conditionalFormatting>
  <conditionalFormatting sqref="M25:M28 M30:M32">
    <cfRule type="cellIs" dxfId="25" priority="65" stopIfTrue="1" operator="lessThan">
      <formula>#REF!</formula>
    </cfRule>
    <cfRule type="cellIs" dxfId="24" priority="66" stopIfTrue="1" operator="greaterThan">
      <formula>#REF!</formula>
    </cfRule>
  </conditionalFormatting>
  <conditionalFormatting sqref="M22:M24">
    <cfRule type="cellIs" dxfId="23" priority="63" stopIfTrue="1" operator="lessThan">
      <formula>#REF!</formula>
    </cfRule>
    <cfRule type="cellIs" dxfId="22" priority="64" stopIfTrue="1" operator="greaterThan">
      <formula>#REF!</formula>
    </cfRule>
  </conditionalFormatting>
  <conditionalFormatting sqref="M39">
    <cfRule type="cellIs" dxfId="21" priority="61" stopIfTrue="1" operator="lessThan">
      <formula>#REF!</formula>
    </cfRule>
    <cfRule type="cellIs" dxfId="20" priority="62" stopIfTrue="1" operator="greaterThan">
      <formula>#REF!</formula>
    </cfRule>
  </conditionalFormatting>
  <conditionalFormatting sqref="M38">
    <cfRule type="cellIs" dxfId="19" priority="59" stopIfTrue="1" operator="lessThan">
      <formula>#REF!</formula>
    </cfRule>
    <cfRule type="cellIs" dxfId="18" priority="60" stopIfTrue="1" operator="greaterThan">
      <formula>#REF!</formula>
    </cfRule>
  </conditionalFormatting>
  <conditionalFormatting sqref="F19:F21">
    <cfRule type="cellIs" dxfId="17" priority="57" stopIfTrue="1" operator="lessThan">
      <formula>#REF!</formula>
    </cfRule>
    <cfRule type="cellIs" dxfId="16" priority="58" stopIfTrue="1" operator="greaterThan">
      <formula>#REF!</formula>
    </cfRule>
  </conditionalFormatting>
  <conditionalFormatting sqref="M33:M36">
    <cfRule type="cellIs" dxfId="15" priority="50" stopIfTrue="1" operator="lessThan">
      <formula>#REF!</formula>
    </cfRule>
    <cfRule type="cellIs" dxfId="14" priority="51" stopIfTrue="1" operator="greaterThan">
      <formula>#REF!</formula>
    </cfRule>
  </conditionalFormatting>
  <conditionalFormatting sqref="M12">
    <cfRule type="cellIs" dxfId="13" priority="43" stopIfTrue="1" operator="lessThan">
      <formula>#REF!</formula>
    </cfRule>
    <cfRule type="cellIs" dxfId="12" priority="44" stopIfTrue="1" operator="greaterThan">
      <formula>#REF!</formula>
    </cfRule>
  </conditionalFormatting>
  <conditionalFormatting sqref="M11">
    <cfRule type="cellIs" dxfId="11" priority="36" stopIfTrue="1" operator="lessThan">
      <formula>#REF!</formula>
    </cfRule>
    <cfRule type="cellIs" dxfId="10" priority="37" stopIfTrue="1" operator="greaterThan">
      <formula>#REF!</formula>
    </cfRule>
  </conditionalFormatting>
  <conditionalFormatting sqref="M7:M8">
    <cfRule type="cellIs" dxfId="9" priority="34" stopIfTrue="1" operator="lessThan">
      <formula>#REF!</formula>
    </cfRule>
    <cfRule type="cellIs" dxfId="8" priority="35" stopIfTrue="1" operator="greaterThan">
      <formula>#REF!</formula>
    </cfRule>
  </conditionalFormatting>
  <conditionalFormatting sqref="M29">
    <cfRule type="cellIs" dxfId="7" priority="27" stopIfTrue="1" operator="lessThan">
      <formula>#REF!</formula>
    </cfRule>
    <cfRule type="cellIs" dxfId="6" priority="28" stopIfTrue="1" operator="greaterThan">
      <formula>#REF!</formula>
    </cfRule>
  </conditionalFormatting>
  <conditionalFormatting sqref="M16">
    <cfRule type="cellIs" dxfId="5" priority="20" stopIfTrue="1" operator="lessThan">
      <formula>#REF!</formula>
    </cfRule>
    <cfRule type="cellIs" dxfId="4" priority="21" stopIfTrue="1" operator="greaterThan">
      <formula>#REF!</formula>
    </cfRule>
  </conditionalFormatting>
  <conditionalFormatting sqref="M5">
    <cfRule type="cellIs" dxfId="3" priority="13" stopIfTrue="1" operator="lessThan">
      <formula>#REF!</formula>
    </cfRule>
    <cfRule type="cellIs" dxfId="2" priority="14" stopIfTrue="1" operator="greaterThan">
      <formula>#REF!</formula>
    </cfRule>
  </conditionalFormatting>
  <conditionalFormatting sqref="M6">
    <cfRule type="cellIs" dxfId="1" priority="6" stopIfTrue="1" operator="lessThan">
      <formula>#REF!</formula>
    </cfRule>
    <cfRule type="cellIs" dxfId="0" priority="7" stopIfTrue="1" operator="greaterThan">
      <formula>#REF!</formula>
    </cfRule>
  </conditionalFormatting>
  <dataValidations count="1">
    <dataValidation type="list" allowBlank="1" showInputMessage="1" showErrorMessage="1" sqref="U41:X71">
      <formula1>#REF!</formula1>
    </dataValidation>
  </dataValidations>
  <printOptions horizontalCentered="1"/>
  <pageMargins left="0.19685039370078741" right="0" top="0.39370078740157483" bottom="0.39370078740157483" header="0.19685039370078741" footer="0"/>
  <pageSetup paperSize="9" scale="14" orientation="landscape" useFirstPageNumber="1" horizontalDpi="300" verticalDpi="300" r:id="rId1"/>
  <headerFooter alignWithMargins="0">
    <oddHeader>&amp;C&amp;"Times New Roman,Regular"&amp;12&amp;A</oddHeader>
    <oddFooter>&amp;C&amp;"Times New Roman,Regular"&amp;12Página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RELAÇÃO COMPLETA 2019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Arno Avelino Schussler</dc:creator>
  <cp:lastModifiedBy>arno</cp:lastModifiedBy>
  <dcterms:created xsi:type="dcterms:W3CDTF">2019-04-25T21:41:52Z</dcterms:created>
  <dcterms:modified xsi:type="dcterms:W3CDTF">2019-04-25T22:03:44Z</dcterms:modified>
</cp:coreProperties>
</file>